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8960" windowHeight="7935"/>
  </bookViews>
  <sheets>
    <sheet name="Лист1" sheetId="1" r:id="rId1"/>
    <sheet name="Лист2" sheetId="2" r:id="rId2"/>
    <sheet name="Лист3" sheetId="3" r:id="rId3"/>
  </sheets>
  <calcPr calcId="125725"/>
  <customWorkbookViews>
    <customWorkbookView name="Siarhei_Kutsankou - Личное представление" guid="{4FC9B848-A432-420E-96A3-650FD7E100EA}" mergeInterval="0" personalView="1" maximized="1" xWindow="1" yWindow="1" windowWidth="1440" windowHeight="670" activeSheetId="1"/>
  </customWorkbookViews>
</workbook>
</file>

<file path=xl/calcChain.xml><?xml version="1.0" encoding="utf-8"?>
<calcChain xmlns="http://schemas.openxmlformats.org/spreadsheetml/2006/main">
  <c r="H29" i="1" a="1"/>
  <c r="H30" a="1"/>
  <c r="H31" a="1"/>
  <c r="H32" a="1"/>
  <c r="H32" s="1"/>
  <c r="H33" a="1"/>
  <c r="H33" s="1"/>
  <c r="G359" l="1"/>
  <c r="F153" l="1"/>
  <c r="D132"/>
  <c r="D154"/>
  <c r="G150"/>
  <c r="G151"/>
  <c r="G152"/>
  <c r="H152" s="1"/>
  <c r="J152" s="1"/>
  <c r="N152" s="1"/>
  <c r="G153"/>
  <c r="H153" s="1"/>
  <c r="J153" s="1"/>
  <c r="N153" s="1"/>
  <c r="G149"/>
  <c r="H149" s="1"/>
  <c r="F128"/>
  <c r="F129"/>
  <c r="F130"/>
  <c r="F131"/>
  <c r="F112"/>
  <c r="J111"/>
  <c r="J108"/>
  <c r="J109"/>
  <c r="J110"/>
  <c r="J107"/>
  <c r="E185"/>
  <c r="V7"/>
  <c r="P7"/>
  <c r="G154" l="1"/>
  <c r="E164" s="1" a="1"/>
  <c r="E164" s="1"/>
  <c r="H164" s="1"/>
  <c r="H151"/>
  <c r="J151" s="1"/>
  <c r="N151" s="1"/>
  <c r="H150"/>
  <c r="J150" s="1"/>
  <c r="N150" s="1"/>
  <c r="J149"/>
  <c r="N149" s="1"/>
  <c r="N154" l="1"/>
  <c r="H161" s="1"/>
  <c r="J154"/>
  <c r="E163" s="1" a="1"/>
  <c r="E163" s="1"/>
  <c r="H163" s="1"/>
  <c r="H154"/>
  <c r="M325"/>
  <c r="M324"/>
  <c r="M323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72"/>
  <c r="A282"/>
  <c r="A283"/>
  <c r="A284"/>
  <c r="A285"/>
  <c r="A286"/>
  <c r="A287"/>
  <c r="A288"/>
  <c r="A289"/>
  <c r="A273"/>
  <c r="A274"/>
  <c r="A275"/>
  <c r="A276"/>
  <c r="A277"/>
  <c r="A278"/>
  <c r="A279"/>
  <c r="A280"/>
  <c r="A281"/>
  <c r="A272"/>
  <c r="G257"/>
  <c r="G258"/>
  <c r="G259"/>
  <c r="G260"/>
  <c r="G261"/>
  <c r="G256"/>
  <c r="E257"/>
  <c r="E258"/>
  <c r="E259"/>
  <c r="E260"/>
  <c r="E261"/>
  <c r="E256"/>
  <c r="C257"/>
  <c r="C258"/>
  <c r="C259"/>
  <c r="C260"/>
  <c r="C256"/>
  <c r="A256"/>
  <c r="A261"/>
  <c r="A257"/>
  <c r="A258"/>
  <c r="A259"/>
  <c r="A260"/>
  <c r="H288" l="1" a="1"/>
  <c r="H288" s="1"/>
  <c r="H284" a="1"/>
  <c r="H284" s="1"/>
  <c r="H280" a="1"/>
  <c r="H280" s="1"/>
  <c r="H289" a="1"/>
  <c r="H289" s="1"/>
  <c r="H285" a="1"/>
  <c r="H285" s="1"/>
  <c r="H281" a="1"/>
  <c r="H281" s="1"/>
  <c r="H287" a="1"/>
  <c r="H287" s="1"/>
  <c r="H283" a="1"/>
  <c r="H283" s="1"/>
  <c r="H279" a="1"/>
  <c r="H279" s="1"/>
  <c r="H286" a="1"/>
  <c r="H286" s="1"/>
  <c r="H282" a="1"/>
  <c r="H282" s="1"/>
  <c r="H278" a="1"/>
  <c r="H278" s="1"/>
  <c r="I261" a="1"/>
  <c r="I261" s="1"/>
  <c r="C46"/>
  <c r="C55" s="1"/>
  <c r="V15"/>
  <c r="V16"/>
  <c r="V17"/>
  <c r="V18"/>
  <c r="V19"/>
  <c r="V20"/>
  <c r="V21"/>
  <c r="V22"/>
  <c r="V23"/>
  <c r="V24"/>
  <c r="V14"/>
  <c r="V13"/>
  <c r="P12"/>
  <c r="G34"/>
  <c r="B33"/>
  <c r="B32"/>
  <c r="E305" s="1"/>
  <c r="B31"/>
  <c r="E304" s="1"/>
  <c r="B30"/>
  <c r="E303" s="1"/>
  <c r="B29"/>
  <c r="E302" s="1"/>
  <c r="B28"/>
  <c r="E301" s="1"/>
  <c r="B27"/>
  <c r="E300" s="1"/>
  <c r="B26"/>
  <c r="E299" s="1"/>
  <c r="B25"/>
  <c r="D10" l="1"/>
  <c r="C50"/>
  <c r="C54" s="1"/>
  <c r="D179"/>
  <c r="E298"/>
  <c r="H298" s="1"/>
  <c r="N39"/>
  <c r="N30"/>
  <c r="N38"/>
  <c r="D33" a="1"/>
  <c r="D33" s="1"/>
  <c r="E306"/>
  <c r="H306" s="1" a="1"/>
  <c r="H306" s="1"/>
  <c r="M2"/>
  <c r="G73" s="1"/>
  <c r="H193" a="1"/>
  <c r="H193" s="1"/>
  <c r="E19" a="1"/>
  <c r="E19" s="1"/>
  <c r="P324" a="1"/>
  <c r="P324" s="1"/>
  <c r="P325" a="1"/>
  <c r="P325" s="1"/>
  <c r="P323" a="1"/>
  <c r="P323" s="1"/>
  <c r="H299" a="1"/>
  <c r="H299" s="1"/>
  <c r="H300" a="1"/>
  <c r="H300" s="1"/>
  <c r="H301" a="1"/>
  <c r="H301" s="1"/>
  <c r="H302" a="1"/>
  <c r="H302" s="1"/>
  <c r="H303" a="1"/>
  <c r="H303" s="1"/>
  <c r="H304" a="1"/>
  <c r="H304" s="1"/>
  <c r="H305" a="1"/>
  <c r="H305" s="1"/>
  <c r="H273" a="1"/>
  <c r="H273" s="1"/>
  <c r="H274" a="1"/>
  <c r="H274" s="1"/>
  <c r="H275" a="1"/>
  <c r="H275" s="1"/>
  <c r="H276" a="1"/>
  <c r="H276" s="1"/>
  <c r="H277" a="1"/>
  <c r="H277" s="1"/>
  <c r="H272" a="1"/>
  <c r="H272" s="1"/>
  <c r="I257" a="1"/>
  <c r="I257" s="1"/>
  <c r="I258" a="1"/>
  <c r="I258" s="1"/>
  <c r="I259" a="1"/>
  <c r="I259" s="1"/>
  <c r="I260" a="1"/>
  <c r="I260" s="1"/>
  <c r="I256" a="1"/>
  <c r="I256" s="1"/>
  <c r="F219"/>
  <c r="E213" a="1"/>
  <c r="E213" s="1"/>
  <c r="F528" s="1" a="1"/>
  <c r="F528" s="1"/>
  <c r="G165"/>
  <c r="D25" a="1"/>
  <c r="D25" s="1"/>
  <c r="V8"/>
  <c r="V9"/>
  <c r="V10"/>
  <c r="V11"/>
  <c r="V12"/>
  <c r="P8"/>
  <c r="P9"/>
  <c r="P10"/>
  <c r="P11"/>
  <c r="D26" a="1"/>
  <c r="D26" s="1"/>
  <c r="D27" a="1"/>
  <c r="D27" s="1"/>
  <c r="D28" a="1"/>
  <c r="D28" s="1"/>
  <c r="D29" a="1"/>
  <c r="D29" s="1"/>
  <c r="D30" a="1"/>
  <c r="D30" s="1"/>
  <c r="D31" a="1"/>
  <c r="D31" s="1"/>
  <c r="D32" a="1"/>
  <c r="D32" s="1"/>
  <c r="I262" l="1"/>
  <c r="H290"/>
  <c r="H291" s="1"/>
  <c r="H292" s="1"/>
  <c r="H226" s="1"/>
  <c r="H307"/>
  <c r="H308" s="1"/>
  <c r="E17"/>
  <c r="E31" s="1" a="1"/>
  <c r="E31" s="1"/>
  <c r="F31" s="1" a="1"/>
  <c r="F31" s="1"/>
  <c r="H31" s="1"/>
  <c r="V25"/>
  <c r="P13"/>
  <c r="H309" a="1"/>
  <c r="H309" s="1"/>
  <c r="P326" a="1"/>
  <c r="P326" s="1"/>
  <c r="E191" a="1"/>
  <c r="E191" s="1"/>
  <c r="E219" a="1"/>
  <c r="E219" s="1"/>
  <c r="D175" a="1"/>
  <c r="D175" s="1"/>
  <c r="N36" a="1"/>
  <c r="N36" s="1"/>
  <c r="C65" a="1"/>
  <c r="C65" s="1"/>
  <c r="N26" a="1"/>
  <c r="N26" s="1"/>
  <c r="N35" a="1"/>
  <c r="N35" s="1"/>
  <c r="N33" a="1"/>
  <c r="N33" s="1"/>
  <c r="N29" a="1"/>
  <c r="N29" s="1"/>
  <c r="N28" a="1"/>
  <c r="N28" s="1"/>
  <c r="N32" a="1"/>
  <c r="N32" s="1"/>
  <c r="C69" a="1"/>
  <c r="C69" s="1"/>
  <c r="N37" a="1"/>
  <c r="N37" s="1"/>
  <c r="N34" a="1"/>
  <c r="N34" s="1"/>
  <c r="N31" a="1"/>
  <c r="N31" s="1"/>
  <c r="N27" a="1"/>
  <c r="N27" s="1"/>
  <c r="D315" l="1"/>
  <c r="H227"/>
  <c r="F227" s="1" a="1"/>
  <c r="F227" s="1"/>
  <c r="D322"/>
  <c r="F229" s="1"/>
  <c r="I263"/>
  <c r="I264"/>
  <c r="I265" s="1"/>
  <c r="C73"/>
  <c r="E73" s="1"/>
  <c r="H229"/>
  <c r="C89" a="1"/>
  <c r="C89" s="1"/>
  <c r="C93" s="1" a="1"/>
  <c r="C93" s="1"/>
  <c r="E27" a="1"/>
  <c r="E27" s="1"/>
  <c r="F27" s="1" a="1"/>
  <c r="F27" s="1"/>
  <c r="H27" s="1" a="1"/>
  <c r="H27" s="1"/>
  <c r="C61" a="1"/>
  <c r="C61" s="1"/>
  <c r="F61" s="1" a="1"/>
  <c r="F61" s="1"/>
  <c r="E26" a="1"/>
  <c r="C42" a="1"/>
  <c r="C42" s="1"/>
  <c r="E30" a="1"/>
  <c r="E30" s="1"/>
  <c r="F30" s="1" a="1"/>
  <c r="F30" s="1"/>
  <c r="H30" s="1"/>
  <c r="E32" a="1"/>
  <c r="E32" s="1"/>
  <c r="F32" s="1" a="1"/>
  <c r="F32" s="1"/>
  <c r="E25" a="1"/>
  <c r="E25" s="1"/>
  <c r="F25" s="1" a="1"/>
  <c r="F25" s="1"/>
  <c r="H25" s="1"/>
  <c r="E28" a="1"/>
  <c r="E28" s="1"/>
  <c r="E33" a="1"/>
  <c r="E33" s="1"/>
  <c r="F33" s="1" a="1"/>
  <c r="F33" s="1"/>
  <c r="C15"/>
  <c r="E29" a="1"/>
  <c r="E29" s="1"/>
  <c r="F29" s="1" a="1"/>
  <c r="F29" s="1"/>
  <c r="H29" s="1"/>
  <c r="J112" a="1"/>
  <c r="J112" s="1"/>
  <c r="E118" s="1"/>
  <c r="F226" a="1"/>
  <c r="F226" s="1"/>
  <c r="E197" a="1"/>
  <c r="E197" s="1"/>
  <c r="F515" a="1"/>
  <c r="F515" s="1"/>
  <c r="F216" a="1"/>
  <c r="F216" s="1"/>
  <c r="F527" a="1"/>
  <c r="F527" s="1"/>
  <c r="F218" a="1"/>
  <c r="F218" s="1"/>
  <c r="F217" a="1"/>
  <c r="F217" s="1"/>
  <c r="H228" a="1"/>
  <c r="H228" s="1"/>
  <c r="F228" s="1" a="1"/>
  <c r="F228" s="1"/>
  <c r="E187"/>
  <c r="E26"/>
  <c r="C389" l="1"/>
  <c r="C384"/>
  <c r="F236" s="1" a="1"/>
  <c r="F236" s="1"/>
  <c r="H236" s="1" a="1"/>
  <c r="H236" s="1"/>
  <c r="C370"/>
  <c r="C354"/>
  <c r="F231" s="1"/>
  <c r="C349"/>
  <c r="C99"/>
  <c r="C97" s="1"/>
  <c r="E127" s="1" a="1"/>
  <c r="E127" s="1"/>
  <c r="F127" s="1"/>
  <c r="F132" s="1"/>
  <c r="F538" a="1"/>
  <c r="F538" s="1"/>
  <c r="F539" s="1" a="1"/>
  <c r="F539" s="1"/>
  <c r="F57" a="1"/>
  <c r="F57" s="1"/>
  <c r="F233" a="1"/>
  <c r="F237" a="1"/>
  <c r="F237" s="1"/>
  <c r="C375" a="1"/>
  <c r="C375" s="1"/>
  <c r="F234" s="1" a="1"/>
  <c r="F234" s="1"/>
  <c r="H234" s="1" a="1"/>
  <c r="H234" s="1"/>
  <c r="E140" a="1"/>
  <c r="E140" s="1"/>
  <c r="G140" s="1" a="1"/>
  <c r="G140" s="1"/>
  <c r="K140" s="1"/>
  <c r="E119" a="1"/>
  <c r="E119" s="1"/>
  <c r="E120" s="1" a="1"/>
  <c r="F28" a="1"/>
  <c r="F28" s="1"/>
  <c r="F26" a="1"/>
  <c r="F26" s="1"/>
  <c r="E162" l="1"/>
  <c r="H162" s="1"/>
  <c r="H237" a="1"/>
  <c r="H237" s="1"/>
  <c r="F34"/>
  <c r="C38" s="1"/>
  <c r="F233"/>
  <c r="H233" s="1" a="1"/>
  <c r="H233" s="1"/>
  <c r="I266" a="1"/>
  <c r="I266" s="1"/>
  <c r="H225" s="1"/>
  <c r="F225" s="1"/>
  <c r="C77" a="1"/>
  <c r="C77" s="1"/>
  <c r="E77" s="1"/>
  <c r="E141" a="1"/>
  <c r="E141" s="1"/>
  <c r="E120"/>
  <c r="H26" a="1"/>
  <c r="H26" s="1"/>
  <c r="H28" a="1"/>
  <c r="H28" s="1"/>
  <c r="G363" l="1"/>
  <c r="C359" s="1"/>
  <c r="F232" s="1"/>
  <c r="C81"/>
  <c r="G141" a="1"/>
  <c r="G141" s="1"/>
  <c r="K141" s="1"/>
  <c r="E142" a="1"/>
  <c r="E142" s="1"/>
  <c r="G142" l="1"/>
  <c r="E160" s="1" a="1"/>
  <c r="E161" a="1"/>
  <c r="K142" a="1"/>
  <c r="K142" s="1"/>
  <c r="H160" s="1"/>
  <c r="H232" l="1" a="1"/>
  <c r="H232" s="1"/>
  <c r="E161"/>
  <c r="E165" s="1" a="1"/>
  <c r="E165" s="1"/>
  <c r="H165" s="1"/>
  <c r="E160"/>
  <c r="E166" l="1" a="1"/>
  <c r="E166" s="1"/>
  <c r="H166" a="1"/>
  <c r="H166" s="1"/>
  <c r="E434" l="1"/>
  <c r="D474" s="1"/>
  <c r="D468"/>
  <c r="D470" s="1"/>
  <c r="C380"/>
  <c r="F235" a="1"/>
  <c r="F537" a="1"/>
  <c r="F537" s="1"/>
  <c r="F536" a="1"/>
  <c r="F536" s="1"/>
  <c r="D478" l="1"/>
  <c r="F235"/>
  <c r="H235" s="1" a="1"/>
  <c r="H235" l="1"/>
  <c r="F535" a="1"/>
  <c r="F535" s="1"/>
  <c r="F230" l="1" a="1"/>
  <c r="F230" s="1"/>
  <c r="C394" l="1"/>
  <c r="D394"/>
  <c r="F531" a="1"/>
  <c r="F531" s="1"/>
  <c r="H230" a="1"/>
  <c r="H230" s="1"/>
  <c r="F238" a="1"/>
  <c r="F532" a="1"/>
  <c r="F532" s="1"/>
  <c r="H231" a="1"/>
  <c r="H231" s="1"/>
  <c r="F238" l="1"/>
  <c r="F239" s="1"/>
  <c r="H238" a="1"/>
  <c r="H238" l="1"/>
  <c r="C398"/>
  <c r="H239" a="1"/>
  <c r="H239" l="1"/>
  <c r="C85" s="1"/>
  <c r="F240" a="1"/>
  <c r="F240" s="1"/>
  <c r="F241" s="1"/>
  <c r="C402" s="1"/>
  <c r="C414" l="1"/>
  <c r="H240" a="1"/>
  <c r="H240" s="1"/>
  <c r="H241" s="1"/>
  <c r="D438" s="1"/>
  <c r="C406" l="1"/>
  <c r="F244" s="1"/>
  <c r="H244" s="1"/>
  <c r="F519" a="1"/>
  <c r="F519" s="1"/>
  <c r="F517" a="1"/>
  <c r="F517" s="1"/>
  <c r="C410" l="1"/>
  <c r="F242" a="1"/>
  <c r="F242" s="1"/>
  <c r="I451" l="1"/>
  <c r="F243" a="1"/>
  <c r="F243" s="1"/>
  <c r="D502" s="1"/>
  <c r="H242" a="1"/>
  <c r="H242" s="1"/>
  <c r="F525" l="1" a="1"/>
  <c r="H243" a="1"/>
  <c r="H243" s="1"/>
  <c r="F525" l="1"/>
  <c r="I450"/>
  <c r="F245"/>
  <c r="H245" s="1"/>
  <c r="C419"/>
  <c r="F520" a="1"/>
  <c r="F520" s="1"/>
  <c r="C423" l="1"/>
  <c r="C428" s="1"/>
  <c r="F246"/>
  <c r="H246" s="1"/>
  <c r="F247" l="1" a="1"/>
  <c r="F247" s="1"/>
  <c r="F533" a="1"/>
  <c r="F533"/>
  <c r="F248"/>
  <c r="H248" s="1"/>
  <c r="H247" l="1" a="1"/>
  <c r="H247" s="1"/>
  <c r="F521" l="1" a="1"/>
  <c r="F521" s="1"/>
  <c r="D442"/>
  <c r="D511" l="1"/>
  <c r="F526" s="1" a="1"/>
  <c r="F526" s="1"/>
  <c r="D446" a="1"/>
  <c r="D446" s="1"/>
  <c r="F516"/>
  <c r="D450"/>
  <c r="D454" l="1"/>
  <c r="D458" s="1"/>
  <c r="D454" a="1"/>
  <c r="F518"/>
  <c r="F518" a="1"/>
  <c r="F530" a="1"/>
  <c r="F530" s="1"/>
  <c r="F529" a="1"/>
  <c r="F529" s="1"/>
  <c r="D463" l="1"/>
  <c r="F522" a="1"/>
  <c r="F522" s="1"/>
  <c r="D482" l="1"/>
  <c r="D488" s="1"/>
  <c r="F534" s="1" a="1"/>
  <c r="F534" s="1"/>
  <c r="D493" l="1"/>
  <c r="D498" s="1"/>
  <c r="D506" l="1"/>
  <c r="F524" s="1"/>
  <c r="F523" a="1"/>
  <c r="F523" s="1"/>
</calcChain>
</file>

<file path=xl/sharedStrings.xml><?xml version="1.0" encoding="utf-8"?>
<sst xmlns="http://schemas.openxmlformats.org/spreadsheetml/2006/main" count="629" uniqueCount="487">
  <si>
    <t>Нормы времени на технологический процесс, мин</t>
  </si>
  <si>
    <t>2.2 Выбор типа производства</t>
  </si>
  <si>
    <t>Коэфицент специализации</t>
  </si>
  <si>
    <t>Ксп</t>
  </si>
  <si>
    <t>Коэфицент массовости</t>
  </si>
  <si>
    <t>Такт выпуска</t>
  </si>
  <si>
    <t>S</t>
  </si>
  <si>
    <t>d</t>
  </si>
  <si>
    <t>t</t>
  </si>
  <si>
    <t>Fэ</t>
  </si>
  <si>
    <t>Кпо</t>
  </si>
  <si>
    <t>Nз</t>
  </si>
  <si>
    <t>rнп</t>
  </si>
  <si>
    <t>Км</t>
  </si>
  <si>
    <t>№ операции</t>
  </si>
  <si>
    <t>tшт,мин</t>
  </si>
  <si>
    <t>Кв</t>
  </si>
  <si>
    <t>t'шт,мин</t>
  </si>
  <si>
    <t>Ср(расч)</t>
  </si>
  <si>
    <t>Ср(прин)</t>
  </si>
  <si>
    <t>Кол-во ед</t>
  </si>
  <si>
    <t>Кз</t>
  </si>
  <si>
    <t>Итого</t>
  </si>
  <si>
    <t>Средний коэфициент загрузки</t>
  </si>
  <si>
    <t>К з ср</t>
  </si>
  <si>
    <t>vн л</t>
  </si>
  <si>
    <t>Скорость непрерыно движущихся конвейеров</t>
  </si>
  <si>
    <t>tmp</t>
  </si>
  <si>
    <t>Период распределительного конвейера</t>
  </si>
  <si>
    <t>П</t>
  </si>
  <si>
    <t>Рабочая длина ленты распределительного конвейера</t>
  </si>
  <si>
    <t>Lp</t>
  </si>
  <si>
    <t>Полная длина ленты распределительного конвейера</t>
  </si>
  <si>
    <t>Ln</t>
  </si>
  <si>
    <t>Д</t>
  </si>
  <si>
    <t>Число повторений периода</t>
  </si>
  <si>
    <t>К</t>
  </si>
  <si>
    <t>Длительность цикла</t>
  </si>
  <si>
    <t>tц</t>
  </si>
  <si>
    <t>При  поштучной передаче технический задел равен</t>
  </si>
  <si>
    <t xml:space="preserve"> Zтехн</t>
  </si>
  <si>
    <t>При  поштучной передаче транспортный задел равен</t>
  </si>
  <si>
    <t xml:space="preserve"> Zmp</t>
  </si>
  <si>
    <t>Резервный задел</t>
  </si>
  <si>
    <t xml:space="preserve"> Zрез</t>
  </si>
  <si>
    <t>Общая величина задела</t>
  </si>
  <si>
    <t>Z0</t>
  </si>
  <si>
    <t>Величина незавершённого производства</t>
  </si>
  <si>
    <t>Нв</t>
  </si>
  <si>
    <t>шт</t>
  </si>
  <si>
    <t>нормо-ч</t>
  </si>
  <si>
    <t>мин</t>
  </si>
  <si>
    <t>м</t>
  </si>
  <si>
    <t>м/мин</t>
  </si>
  <si>
    <t>мин/шт</t>
  </si>
  <si>
    <t>Величина незавершённого производства в денежном выражении</t>
  </si>
  <si>
    <t>Нз</t>
  </si>
  <si>
    <t>Наимен</t>
  </si>
  <si>
    <t>Расход</t>
  </si>
  <si>
    <t>Цена</t>
  </si>
  <si>
    <t>Кол-во</t>
  </si>
  <si>
    <t>Конденсатор</t>
  </si>
  <si>
    <t>у. е.</t>
  </si>
  <si>
    <t>Темп</t>
  </si>
  <si>
    <t>ρ</t>
  </si>
  <si>
    <t>шт/ч</t>
  </si>
  <si>
    <t>Часовая производительность в единицах массы</t>
  </si>
  <si>
    <t>qr</t>
  </si>
  <si>
    <t>Q</t>
  </si>
  <si>
    <t>кг</t>
  </si>
  <si>
    <t>кг/ч</t>
  </si>
  <si>
    <t>Мощность потребляемая конвейером</t>
  </si>
  <si>
    <t>Руст.к</t>
  </si>
  <si>
    <t>W</t>
  </si>
  <si>
    <t>л. С</t>
  </si>
  <si>
    <t>кВт</t>
  </si>
  <si>
    <t>Массовый тип производства</t>
  </si>
  <si>
    <t>из п8</t>
  </si>
  <si>
    <t>lпр</t>
  </si>
  <si>
    <t>Nсм</t>
  </si>
  <si>
    <t>Qк</t>
  </si>
  <si>
    <t>кг/пом.м</t>
  </si>
  <si>
    <t>Операция</t>
  </si>
  <si>
    <t>Число раб мест</t>
  </si>
  <si>
    <t>№ раб мест</t>
  </si>
  <si>
    <t>Число закреп знаков</t>
  </si>
  <si>
    <t>Последовательность</t>
  </si>
  <si>
    <t>2.3 Расчёт календавно-плановых нормативов ОНПЛ</t>
  </si>
  <si>
    <t>КПlпр</t>
  </si>
  <si>
    <t>2.4 Планировка и расчёт площади участка</t>
  </si>
  <si>
    <t>Наименование оборудования</t>
  </si>
  <si>
    <t>Модель (марка)</t>
  </si>
  <si>
    <t>Габаритные размеры, мм</t>
  </si>
  <si>
    <t>Количество единиц оборудования Спр, шт</t>
  </si>
  <si>
    <t>Кэффициент дополнительной площади (Кдп)</t>
  </si>
  <si>
    <t>Расчёт производственной площади</t>
  </si>
  <si>
    <t>Расчёт общей площади, занимаемый участком</t>
  </si>
  <si>
    <t>Вид площади</t>
  </si>
  <si>
    <t>Источник или методика расчёта</t>
  </si>
  <si>
    <t>Производственная площадь</t>
  </si>
  <si>
    <t>Вспомагательная площадь</t>
  </si>
  <si>
    <t>См. табл. 2.19</t>
  </si>
  <si>
    <t>Табл 2.19</t>
  </si>
  <si>
    <t>Принимаем30 % от производственной</t>
  </si>
  <si>
    <t>Конвейер</t>
  </si>
  <si>
    <t>2.5 Расчёт мощности, потребляемой оборудованием и транспортными средствами</t>
  </si>
  <si>
    <t>Кол-во единиц</t>
  </si>
  <si>
    <t>Установленная мощность, кВт</t>
  </si>
  <si>
    <t>единицы</t>
  </si>
  <si>
    <t>принято</t>
  </si>
  <si>
    <t>2.6 Расчёт стоимости и амортизации основных производственных фондов</t>
  </si>
  <si>
    <t>Расчёт стоимости здания, занимаемого участком, и амортизационных отчислений</t>
  </si>
  <si>
    <t>Элементы расчёта</t>
  </si>
  <si>
    <t>Стоимость здания, у. е.</t>
  </si>
  <si>
    <t>Норма амортизации,%</t>
  </si>
  <si>
    <t>Сумма амортизационных отчислений, у. е.</t>
  </si>
  <si>
    <t>Вспомогательная площадь</t>
  </si>
  <si>
    <t>Расчёт стоимости транспортного и технологического оборудования</t>
  </si>
  <si>
    <t>оптовая цена</t>
  </si>
  <si>
    <t>единицы, уе</t>
  </si>
  <si>
    <t xml:space="preserve">принятое кол-во, у. е. </t>
  </si>
  <si>
    <t xml:space="preserve">Наименование технологического оборудования </t>
  </si>
  <si>
    <t>Кол-во единиц оборудования, шт.</t>
  </si>
  <si>
    <t>Затраты на упаковку, транспортировку, МНП, у. е.</t>
  </si>
  <si>
    <t>Балансовая (первоначальная) стоимость техники, у. е.</t>
  </si>
  <si>
    <t>Расчёт стоимости основных производственных фондов и амортизационных отчислений</t>
  </si>
  <si>
    <t>Наименование групп основных производственных фондов</t>
  </si>
  <si>
    <t>Условные обозначения</t>
  </si>
  <si>
    <t>Стоимость производственных фондов, у. е.</t>
  </si>
  <si>
    <t>Норма амортизации, %</t>
  </si>
  <si>
    <t>Здание, занимаемое участком</t>
  </si>
  <si>
    <t>Технологическое оборудование и транспортные средства</t>
  </si>
  <si>
    <t>Энергетическое оборудование</t>
  </si>
  <si>
    <t>Производственный и хозяйственный инвентарь</t>
  </si>
  <si>
    <t>Кзд</t>
  </si>
  <si>
    <t>Коб</t>
  </si>
  <si>
    <t>Кэ</t>
  </si>
  <si>
    <t>Кин</t>
  </si>
  <si>
    <t>2.7 Расчёт численности промышленно-производственного персонала (ППП)</t>
  </si>
  <si>
    <t>2.7.1 Расчёти численности основных производственных рабочих</t>
  </si>
  <si>
    <t>Явочное количество рабочих:</t>
  </si>
  <si>
    <t>Списочное число рабочих:</t>
  </si>
  <si>
    <t>Ч оп с</t>
  </si>
  <si>
    <t>2.7.2 Расчёт численности вспомогательных рабочих, ИТР и управленческого персонала</t>
  </si>
  <si>
    <t>Ч оп я</t>
  </si>
  <si>
    <t>Расчёт численности наладчиков оборудования</t>
  </si>
  <si>
    <t>Н</t>
  </si>
  <si>
    <t>Тнi</t>
  </si>
  <si>
    <t>tнi</t>
  </si>
  <si>
    <t>Расчёт численности по настройке инструмента</t>
  </si>
  <si>
    <t>h</t>
  </si>
  <si>
    <t>Fр</t>
  </si>
  <si>
    <t>t ни</t>
  </si>
  <si>
    <t>ч</t>
  </si>
  <si>
    <t>Чни</t>
  </si>
  <si>
    <t>Расчёт численности транспортных рабочих</t>
  </si>
  <si>
    <t>m</t>
  </si>
  <si>
    <t>Чmp</t>
  </si>
  <si>
    <t>Расчёт численности контролёров, кладовщиков, уборщиков, подсобных рабочих, ИТР и управленчиского персонала</t>
  </si>
  <si>
    <t xml:space="preserve">Контролёр </t>
  </si>
  <si>
    <t>Кладовшик</t>
  </si>
  <si>
    <t>Уборщик</t>
  </si>
  <si>
    <t>Подсобные рабочие</t>
  </si>
  <si>
    <t>1-1,3%</t>
  </si>
  <si>
    <t>ИТР и управленцев</t>
  </si>
  <si>
    <t>3-4 %</t>
  </si>
  <si>
    <t>Общая потребность вчисленности промышленно-производственного  персонала</t>
  </si>
  <si>
    <t>Категории рабочих</t>
  </si>
  <si>
    <t>Кол-во человек</t>
  </si>
  <si>
    <t>% от общего количества</t>
  </si>
  <si>
    <t>1. Основные производственные рабочие</t>
  </si>
  <si>
    <t>2. Вспомогательные рабочие</t>
  </si>
  <si>
    <t>В том числе:</t>
  </si>
  <si>
    <t>2.1 обслуживающие оборудование</t>
  </si>
  <si>
    <t>2 смены</t>
  </si>
  <si>
    <t>2.2 необслуживающие оборудование</t>
  </si>
  <si>
    <t>3. ИТР и управленческий персонал</t>
  </si>
  <si>
    <t>2. 8 Расчёт себестоимости и цены единицы продукции с учётом косвенных налогов</t>
  </si>
  <si>
    <t>Наименование статей затрат</t>
  </si>
  <si>
    <t>Условное обозначение</t>
  </si>
  <si>
    <t>Сумма затрат на плановый выпуск продукции, у. е.</t>
  </si>
  <si>
    <t>В том, числе на единицу продукции, у. е.</t>
  </si>
  <si>
    <t>1.Сырьё, материалы и другие материальные ценнрсти за вычетом реализуемых отходов</t>
  </si>
  <si>
    <t>2. Покупные комплектующие изделия, полуфабрикаты и услуги производственного характера</t>
  </si>
  <si>
    <t>3. Основная заработная плата основных производственных рабочих</t>
  </si>
  <si>
    <t>4. Дополнительная заработная плата основных производственных рабочих</t>
  </si>
  <si>
    <t>5. Основная и дополнительная заработная плата прочего ППП</t>
  </si>
  <si>
    <t>6. Отчисления в государственный ФСЗН РБ ( 34% от ФЗП)</t>
  </si>
  <si>
    <t>8. Топливо и электроэнергия для технологических целей</t>
  </si>
  <si>
    <t>9. Расходы на подготовку и освоение производства</t>
  </si>
  <si>
    <t>10. Износ инструментов и приспособлений целевого назначения</t>
  </si>
  <si>
    <t>11. Амортизационные отчисления основных производственных фондов</t>
  </si>
  <si>
    <t>12. Общепрозводственные расходы</t>
  </si>
  <si>
    <t>13. Общехозяйственные расходы</t>
  </si>
  <si>
    <t>Итого производственная себестоимость</t>
  </si>
  <si>
    <t>Итого полная себестоимость продукции</t>
  </si>
  <si>
    <t>Рм</t>
  </si>
  <si>
    <t>Рк</t>
  </si>
  <si>
    <t>Р зо</t>
  </si>
  <si>
    <t>Р зд</t>
  </si>
  <si>
    <t>Р зппп</t>
  </si>
  <si>
    <t>Р зс</t>
  </si>
  <si>
    <t>Рбс</t>
  </si>
  <si>
    <t>Рэ</t>
  </si>
  <si>
    <t>Р по</t>
  </si>
  <si>
    <t>Р из</t>
  </si>
  <si>
    <t>Ра</t>
  </si>
  <si>
    <t>Роп</t>
  </si>
  <si>
    <t>Рох</t>
  </si>
  <si>
    <t>Рпр</t>
  </si>
  <si>
    <t>Спр</t>
  </si>
  <si>
    <t>Рком</t>
  </si>
  <si>
    <t>Сп</t>
  </si>
  <si>
    <t>Пн</t>
  </si>
  <si>
    <t>Цп</t>
  </si>
  <si>
    <t>Рндс</t>
  </si>
  <si>
    <t>Цр</t>
  </si>
  <si>
    <t>Расчёт статьи затрат "Сырьё, материалы и другие материальные ценнрсти за вычетом реализуемых отходов"</t>
  </si>
  <si>
    <t>Расчёт затрат на материальные ценности</t>
  </si>
  <si>
    <t>Наименование материальных ценностей</t>
  </si>
  <si>
    <t>Марка, профиль</t>
  </si>
  <si>
    <t>Единица измерения</t>
  </si>
  <si>
    <t>Норма расхода на единицу изделия</t>
  </si>
  <si>
    <t>Оптовая цена за единицу материала, у. е.</t>
  </si>
  <si>
    <t>Сумма затрат, у. е.</t>
  </si>
  <si>
    <t>ГОСТ 18300-72</t>
  </si>
  <si>
    <t>ПОС-61</t>
  </si>
  <si>
    <t>л</t>
  </si>
  <si>
    <t>Транспортно-заготовительные расходы (5% отсуммы затрат на материалы)</t>
  </si>
  <si>
    <t>Всего затрат</t>
  </si>
  <si>
    <t>Реализуемые отходы (0,5% от общей суммы затрат)</t>
  </si>
  <si>
    <t>Наименование комплектующих изделей и полуфабрикатов</t>
  </si>
  <si>
    <t>Кол-во на одно изделие</t>
  </si>
  <si>
    <t>Оптовая цена ед. изделия, полуфабриката, у. е.</t>
  </si>
  <si>
    <t>Сумма затрат,    у. е.</t>
  </si>
  <si>
    <t>шт.</t>
  </si>
  <si>
    <t>Транспортно-заготовительные расходы(3-5% от общей суммы затрат)</t>
  </si>
  <si>
    <t>Расчёт статьи затрат "Основная заработная плата основных производственных рабочих"</t>
  </si>
  <si>
    <t>Номер операции</t>
  </si>
  <si>
    <t>Разряд работ</t>
  </si>
  <si>
    <t>Норма времени, мин</t>
  </si>
  <si>
    <t>Часовая тарифная ставка, у.е</t>
  </si>
  <si>
    <t>Сумма заработной платы, у. е.</t>
  </si>
  <si>
    <t>Итого прямой фонд заработной платы</t>
  </si>
  <si>
    <t>Всего основная заработная плата</t>
  </si>
  <si>
    <t>Расчёт статьи затрат "Дополнительная заработная плата основных производственных рабочих"</t>
  </si>
  <si>
    <t>Ндз</t>
  </si>
  <si>
    <t>Расчёт статьи затрат "Основная и дополнительная заработная плата прочего ППП"</t>
  </si>
  <si>
    <t>Разряд</t>
  </si>
  <si>
    <t>5-6</t>
  </si>
  <si>
    <t>Рз ппп</t>
  </si>
  <si>
    <t>Кзп</t>
  </si>
  <si>
    <t>Расчёт основной и дополнительной заработной платы прочих категорий ППП</t>
  </si>
  <si>
    <t>2 чел</t>
  </si>
  <si>
    <t xml:space="preserve">Разряд </t>
  </si>
  <si>
    <t>Ставка повремен</t>
  </si>
  <si>
    <t>Сумма</t>
  </si>
  <si>
    <t>Расчёт статьи затрат "Отчисления в государственный ФСЗН РБ "</t>
  </si>
  <si>
    <t>Рсз</t>
  </si>
  <si>
    <t>Нсз</t>
  </si>
  <si>
    <t>%</t>
  </si>
  <si>
    <t>Нбгс</t>
  </si>
  <si>
    <t>Расчёт статьи затрат " Топливо и электроэнергия для технологических целей "</t>
  </si>
  <si>
    <t>Цэ</t>
  </si>
  <si>
    <t>Кэ.в.</t>
  </si>
  <si>
    <t>Кэ.м</t>
  </si>
  <si>
    <t>Кзо</t>
  </si>
  <si>
    <t>J</t>
  </si>
  <si>
    <t>η</t>
  </si>
  <si>
    <t>Расчёт статьи затрат " Расходы на подготовку и освоение производства "</t>
  </si>
  <si>
    <t>Носв</t>
  </si>
  <si>
    <t>Рпо</t>
  </si>
  <si>
    <t>Расчёт статьи затрат " Износ инструментов и приспособлений целевого назначения"</t>
  </si>
  <si>
    <t>Низ</t>
  </si>
  <si>
    <t>Риз</t>
  </si>
  <si>
    <t>Расчёт статьи затрат " Общепрозводственные расходы"</t>
  </si>
  <si>
    <t>Ноп</t>
  </si>
  <si>
    <t>Расчёт статьи затрат "Общехозяйственные расходы"</t>
  </si>
  <si>
    <t>Нох</t>
  </si>
  <si>
    <t>14. Прочие производственные расходы</t>
  </si>
  <si>
    <t>15. Коммерчиские расходы ( внепроизводственные)</t>
  </si>
  <si>
    <t>16. Нормативная прибыль на единицу продукции</t>
  </si>
  <si>
    <t>17. Цена предприятия</t>
  </si>
  <si>
    <t>Нпр</t>
  </si>
  <si>
    <t>Р пр</t>
  </si>
  <si>
    <t>Расчёт статьи затрат "Коммерчиские расходы"</t>
  </si>
  <si>
    <t>Н ком</t>
  </si>
  <si>
    <t>Ури</t>
  </si>
  <si>
    <t>Расчёт нормативной прибыли на единицу продукции</t>
  </si>
  <si>
    <t>Расчёт цены предприятия</t>
  </si>
  <si>
    <t>Нндс</t>
  </si>
  <si>
    <t>Расчёт НДС</t>
  </si>
  <si>
    <t>2.9 Расчёт технико - экономических показателей работы участка</t>
  </si>
  <si>
    <t>Расчёт полной себестоимости планового объма продукции</t>
  </si>
  <si>
    <t>Расчёт объёма реализуемой продукции за плановый период</t>
  </si>
  <si>
    <t>Тр</t>
  </si>
  <si>
    <t>Определение зтрат на одну условную единицу реализуемой продукции</t>
  </si>
  <si>
    <t>Зрп</t>
  </si>
  <si>
    <t>Расчёт общей суммы прибыли от реализации продукции</t>
  </si>
  <si>
    <t>Прп</t>
  </si>
  <si>
    <t>Прибыль от прочей реализации</t>
  </si>
  <si>
    <t>Ппр.р</t>
  </si>
  <si>
    <t>Общая сумма прибыли</t>
  </si>
  <si>
    <t>Пр</t>
  </si>
  <si>
    <t>Пв</t>
  </si>
  <si>
    <t>Ув</t>
  </si>
  <si>
    <t>Пб</t>
  </si>
  <si>
    <t>Расчёт налога на недвижимость</t>
  </si>
  <si>
    <t>Опф</t>
  </si>
  <si>
    <t>Нндв</t>
  </si>
  <si>
    <t>Рн.пр</t>
  </si>
  <si>
    <t>Расчёт налогооблагаемой прибыли</t>
  </si>
  <si>
    <t>Пндо</t>
  </si>
  <si>
    <t>Пно</t>
  </si>
  <si>
    <t>Расчёт налога на прибыль</t>
  </si>
  <si>
    <t xml:space="preserve">Расчёт транспортного  налога </t>
  </si>
  <si>
    <t>Ртр</t>
  </si>
  <si>
    <t>Нтр</t>
  </si>
  <si>
    <t>Расчёт чистой прибыли</t>
  </si>
  <si>
    <t>Пч</t>
  </si>
  <si>
    <t>Уизд</t>
  </si>
  <si>
    <t>Расчёт уровня рентабельности производства</t>
  </si>
  <si>
    <t>Расчёт уровня рентабельности изделия</t>
  </si>
  <si>
    <t>Оос</t>
  </si>
  <si>
    <t>Урп</t>
  </si>
  <si>
    <t>Расчёт фондоотдачи</t>
  </si>
  <si>
    <t>Фо</t>
  </si>
  <si>
    <t>Показатель</t>
  </si>
  <si>
    <t>Значение пок-ля</t>
  </si>
  <si>
    <t>1. Плановый объём производства</t>
  </si>
  <si>
    <t>2. Объём реализуемой продукции</t>
  </si>
  <si>
    <t>3. Полная себестоимость реализуемой продукции</t>
  </si>
  <si>
    <t>4. Затраты на условную единицу продукции</t>
  </si>
  <si>
    <t>5. Полная себестоимость единицы продукции</t>
  </si>
  <si>
    <t>6. Цена предприятия единицы продукции</t>
  </si>
  <si>
    <t>7. Цена реализации продукции с учётом косвенных налогов</t>
  </si>
  <si>
    <t>9. Чистая прибыль предприятия</t>
  </si>
  <si>
    <t>10. Уровень рентабильности производства</t>
  </si>
  <si>
    <t>11. Уровень рентабильности изделия</t>
  </si>
  <si>
    <t>12. Фондоотдача выпускаемой продукции</t>
  </si>
  <si>
    <t>15. Производительность труда рабочих</t>
  </si>
  <si>
    <t>16. Размер отчислений в ФСЗН</t>
  </si>
  <si>
    <t>17. Расмер отчислений в БелГосСтрах</t>
  </si>
  <si>
    <t>18. НДС</t>
  </si>
  <si>
    <t>19. Размер налога на прибыль</t>
  </si>
  <si>
    <t>20. Размер налога на недвижимость</t>
  </si>
  <si>
    <t>21. Стоимость основных производственных фондов</t>
  </si>
  <si>
    <t>22. Среднегодовая стоимость оборотного капитала</t>
  </si>
  <si>
    <t>23. Общий фонд заработной платы ППП</t>
  </si>
  <si>
    <t>24. Среднемесячная заработная плата одного рабочего</t>
  </si>
  <si>
    <t>у. е./шт.</t>
  </si>
  <si>
    <t>у.е.</t>
  </si>
  <si>
    <t>чел.</t>
  </si>
  <si>
    <t>14. Производительность труда одного производственного рабочего</t>
  </si>
  <si>
    <t>у.е./чел.</t>
  </si>
  <si>
    <t>8. Прибыль от реализации продукции</t>
  </si>
  <si>
    <t>ЭП201</t>
  </si>
  <si>
    <t>Дорогостоящая оснастка,УСПО и инструмент</t>
  </si>
  <si>
    <t>Кос</t>
  </si>
  <si>
    <t>Измерительные ирегулирующие приборы</t>
  </si>
  <si>
    <t>К из</t>
  </si>
  <si>
    <t>табл 2.22</t>
  </si>
  <si>
    <t>табл 2.23</t>
  </si>
  <si>
    <t>Кнев</t>
  </si>
  <si>
    <t>Должность</t>
  </si>
  <si>
    <t>Кладовщик,уборщик, подсобный рабочий</t>
  </si>
  <si>
    <t>Транспортные рабочие</t>
  </si>
  <si>
    <t>Контролер, рабочий по настройке инструмента</t>
  </si>
  <si>
    <t>Расчёт статьи затрат "Прочие производственные расходы"</t>
  </si>
  <si>
    <t>Расчёт налога на нормируемые оборотные средства</t>
  </si>
  <si>
    <t>Р н ос</t>
  </si>
  <si>
    <t>Расчёт общей суммы налога  на недвижимость</t>
  </si>
  <si>
    <t>Рндв</t>
  </si>
  <si>
    <t>Припой трубчатый</t>
  </si>
  <si>
    <t>Марка,профиль</t>
  </si>
  <si>
    <t>-</t>
  </si>
  <si>
    <t>ФКСА</t>
  </si>
  <si>
    <t>Флюс канифольный</t>
  </si>
  <si>
    <t>Флюс спиртоканифольный</t>
  </si>
  <si>
    <t>Канифоль сосновая</t>
  </si>
  <si>
    <t>Спирт этиловый</t>
  </si>
  <si>
    <t>Вата медицинская</t>
  </si>
  <si>
    <t>ГОСТ,марка</t>
  </si>
  <si>
    <t>Резистор</t>
  </si>
  <si>
    <t>МЛТ-0,25</t>
  </si>
  <si>
    <t>МЛТ-0,5</t>
  </si>
  <si>
    <t>МЛТ-2</t>
  </si>
  <si>
    <t>Потенциометр</t>
  </si>
  <si>
    <t>Электролит</t>
  </si>
  <si>
    <t>Радиолампа</t>
  </si>
  <si>
    <t>Дриод</t>
  </si>
  <si>
    <t>Дроссель</t>
  </si>
  <si>
    <t>Фильтр</t>
  </si>
  <si>
    <t>Панель ламповая</t>
  </si>
  <si>
    <t>заклепка гетинаксовая</t>
  </si>
  <si>
    <t>Плата</t>
  </si>
  <si>
    <t>СП-3</t>
  </si>
  <si>
    <t>БМТ</t>
  </si>
  <si>
    <t>К5С-12</t>
  </si>
  <si>
    <t>КД</t>
  </si>
  <si>
    <t>КТ</t>
  </si>
  <si>
    <t>6К13П</t>
  </si>
  <si>
    <t>6Ж51П</t>
  </si>
  <si>
    <t>6Ф1П</t>
  </si>
  <si>
    <t>6Ф4П</t>
  </si>
  <si>
    <t>Д226</t>
  </si>
  <si>
    <t>Д0,1</t>
  </si>
  <si>
    <t>П4</t>
  </si>
  <si>
    <t>ППК-7</t>
  </si>
  <si>
    <t>П3-1</t>
  </si>
  <si>
    <t>ЮК66.72.111</t>
  </si>
  <si>
    <t>Стоимость</t>
  </si>
  <si>
    <t>Всего затраты на материальные ценности с учётом реализуемых отходов</t>
  </si>
  <si>
    <t>1,3,5</t>
  </si>
  <si>
    <t>2,4,6</t>
  </si>
  <si>
    <t>1,2,3,4,5,6</t>
  </si>
  <si>
    <t>Пневмопресс</t>
  </si>
  <si>
    <t>Н 200-В</t>
  </si>
  <si>
    <t>Установка "Волна"</t>
  </si>
  <si>
    <t>ПВ-2</t>
  </si>
  <si>
    <t>Годовой Эф Фонд времени работы оборудования</t>
  </si>
  <si>
    <t>массовый тип производства</t>
  </si>
  <si>
    <t>целесообразно поточное производство</t>
  </si>
  <si>
    <t>условие выполняется</t>
  </si>
  <si>
    <t>Расчёт потребности в оборотных средствах</t>
  </si>
  <si>
    <t>H=1</t>
  </si>
  <si>
    <t>нужно вычесть Pмб  Рр.б.</t>
  </si>
  <si>
    <t>Плн</t>
  </si>
  <si>
    <t>Pр.б.</t>
  </si>
  <si>
    <t>Pмб</t>
  </si>
  <si>
    <t>Расчёт статьи затрат "отчисления в местные целевые бюджетные фонды"</t>
  </si>
  <si>
    <t>Pм.б.</t>
  </si>
  <si>
    <t>Нмб</t>
  </si>
  <si>
    <t>Расчёт статьи затрат "отчисления в республиканский фонд поддержки производителей сельскохозяйственной продукции и дорожный фонд"</t>
  </si>
  <si>
    <t>Нрб</t>
  </si>
  <si>
    <t xml:space="preserve"> </t>
  </si>
  <si>
    <t>пневмопресс</t>
  </si>
  <si>
    <t>верстак</t>
  </si>
  <si>
    <t>НДР-1064</t>
  </si>
  <si>
    <t>Волна</t>
  </si>
  <si>
    <t>установка</t>
  </si>
  <si>
    <t>должен быть от 55 до 65</t>
  </si>
  <si>
    <t>Паяльник</t>
  </si>
  <si>
    <t>П-1</t>
  </si>
  <si>
    <t>Стенд</t>
  </si>
  <si>
    <t>Испытательный</t>
  </si>
  <si>
    <t>таблица 3 звездочки</t>
  </si>
  <si>
    <t>ненадо</t>
  </si>
  <si>
    <t>зарплата по тарифной ставке сдельщиков</t>
  </si>
  <si>
    <t>берем только основной части</t>
  </si>
  <si>
    <t>формула 123</t>
  </si>
  <si>
    <t>амортизация 126    здесь делим на 12</t>
  </si>
  <si>
    <t>рпирр</t>
  </si>
  <si>
    <t>Премии за выполнение плана ( K=1,4 от прямой з/п)</t>
  </si>
  <si>
    <t>Ргп</t>
  </si>
  <si>
    <t>Расчёт статьи затрат "Единый платеж налогов "</t>
  </si>
  <si>
    <t>7.Единый платеж налогов (0,5 % от ФЗП)</t>
  </si>
  <si>
    <t>Расчёт статьи затрат " амортизационнные расходы"</t>
  </si>
  <si>
    <t>непанятна почему так</t>
  </si>
  <si>
    <t>расчет цены без учета ндс</t>
  </si>
  <si>
    <t>Цоц</t>
  </si>
  <si>
    <t>18. Отчисление в местные целевые фонды</t>
  </si>
  <si>
    <t>19. Отчисления в республиканскийц фонд</t>
  </si>
  <si>
    <t>Рмб</t>
  </si>
  <si>
    <t>Ррб</t>
  </si>
  <si>
    <t>20. Отпускная цена без учета НДС</t>
  </si>
  <si>
    <t>21. НДС</t>
  </si>
  <si>
    <t>22. Цена реализации с учётом косвенных налогов</t>
  </si>
  <si>
    <t>Расчёт цены реализации с учетом косвенных продуктов</t>
  </si>
  <si>
    <t>Расчёт балансовой прибыли предприятия</t>
  </si>
  <si>
    <t>30-50</t>
  </si>
  <si>
    <t>1-2%</t>
  </si>
  <si>
    <t>0.5-2%</t>
  </si>
  <si>
    <t>60-80</t>
  </si>
  <si>
    <t>80-100</t>
  </si>
  <si>
    <t>0.4-0.5</t>
  </si>
  <si>
    <t>0.6-0.7</t>
  </si>
  <si>
    <t>10-15%</t>
  </si>
  <si>
    <r>
      <t>Производственная площадь участка (S), 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</si>
  <si>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Площадь (S) 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</si>
  <si>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Стоимость 1 м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здания, у. е/м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</si>
  <si>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Площадь занимаемая зданием, м</t>
    </r>
    <r>
      <rPr>
        <vertAlign val="superscript"/>
        <sz val="14"/>
        <color theme="1"/>
        <rFont val="Times New Roman"/>
        <family val="1"/>
        <charset val="204"/>
      </rPr>
      <t>2</t>
    </r>
  </si>
  <si>
    <t>nпер</t>
  </si>
  <si>
    <t>13. основных производственных рабочих</t>
  </si>
  <si>
    <t>13. Численность ППП ― всего</t>
  </si>
  <si>
    <t>;</t>
  </si>
  <si>
    <t>rftgy</t>
  </si>
</sst>
</file>

<file path=xl/styles.xml><?xml version="1.0" encoding="utf-8"?>
<styleSheet xmlns="http://schemas.openxmlformats.org/spreadsheetml/2006/main">
  <numFmts count="6">
    <numFmt numFmtId="164" formatCode="_-* #,##0.00\ _р_._-;\-* #,##0.00\ _р_._-;_-* &quot;-&quot;??\ _р_._-;_-@_-"/>
    <numFmt numFmtId="165" formatCode="0.000"/>
    <numFmt numFmtId="166" formatCode="0.0"/>
    <numFmt numFmtId="167" formatCode="0.0000"/>
    <numFmt numFmtId="168" formatCode="0.00000"/>
    <numFmt numFmtId="169" formatCode="0.00000000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3" fillId="0" borderId="0" xfId="0" applyNumberFormat="1" applyFont="1" applyFill="1"/>
    <xf numFmtId="2" fontId="3" fillId="0" borderId="1" xfId="0" applyNumberFormat="1" applyFont="1" applyFill="1" applyBorder="1"/>
    <xf numFmtId="0" fontId="3" fillId="0" borderId="3" xfId="0" applyFont="1" applyFill="1" applyBorder="1" applyAlignment="1">
      <alignment horizontal="center"/>
    </xf>
    <xf numFmtId="168" fontId="3" fillId="0" borderId="0" xfId="0" applyNumberFormat="1" applyFont="1" applyFill="1"/>
    <xf numFmtId="167" fontId="3" fillId="0" borderId="0" xfId="0" applyNumberFormat="1" applyFont="1" applyFill="1"/>
    <xf numFmtId="164" fontId="3" fillId="0" borderId="0" xfId="1" applyFont="1" applyFill="1"/>
    <xf numFmtId="169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49" fontId="3" fillId="0" borderId="0" xfId="0" applyNumberFormat="1" applyFont="1" applyFill="1"/>
    <xf numFmtId="0" fontId="3" fillId="0" borderId="2" xfId="0" applyFont="1" applyFill="1" applyBorder="1"/>
    <xf numFmtId="2" fontId="3" fillId="0" borderId="6" xfId="0" applyNumberFormat="1" applyFont="1" applyFill="1" applyBorder="1"/>
    <xf numFmtId="0" fontId="3" fillId="0" borderId="7" xfId="0" applyFont="1" applyFill="1" applyBorder="1"/>
    <xf numFmtId="0" fontId="3" fillId="0" borderId="3" xfId="0" applyFont="1" applyFill="1" applyBorder="1"/>
    <xf numFmtId="2" fontId="3" fillId="0" borderId="8" xfId="0" applyNumberFormat="1" applyFont="1" applyFill="1" applyBorder="1"/>
    <xf numFmtId="0" fontId="3" fillId="0" borderId="9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0" xfId="0" applyFont="1" applyFill="1" applyAlignment="1">
      <alignment wrapText="1"/>
    </xf>
    <xf numFmtId="0" fontId="2" fillId="0" borderId="0" xfId="0" applyFont="1" applyFill="1"/>
    <xf numFmtId="4" fontId="3" fillId="0" borderId="0" xfId="0" applyNumberFormat="1" applyFont="1" applyFill="1"/>
    <xf numFmtId="165" fontId="3" fillId="0" borderId="0" xfId="0" applyNumberFormat="1" applyFont="1" applyFill="1"/>
    <xf numFmtId="16" fontId="3" fillId="0" borderId="0" xfId="0" applyNumberFormat="1" applyFont="1" applyFill="1"/>
    <xf numFmtId="0" fontId="4" fillId="0" borderId="0" xfId="0" applyFont="1" applyFill="1"/>
    <xf numFmtId="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7" fontId="3" fillId="0" borderId="4" xfId="0" applyNumberFormat="1" applyFont="1" applyFill="1" applyBorder="1" applyAlignment="1">
      <alignment horizontal="center"/>
    </xf>
    <xf numFmtId="167" fontId="3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left"/>
    </xf>
    <xf numFmtId="4" fontId="3" fillId="0" borderId="5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1" xfId="0" applyFont="1" applyFill="1" applyBorder="1" applyAlignment="1"/>
    <xf numFmtId="0" fontId="3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" fontId="4" fillId="0" borderId="0" xfId="0" applyNumberFormat="1" applyFont="1" applyFill="1" applyAlignment="1"/>
    <xf numFmtId="0" fontId="4" fillId="0" borderId="0" xfId="0" applyFont="1" applyFill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" fontId="3" fillId="0" borderId="0" xfId="0" applyNumberFormat="1" applyFont="1" applyFill="1" applyAlignmen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2" fillId="0" borderId="1" xfId="0" applyNumberFormat="1" applyFont="1" applyFill="1" applyBorder="1" applyAlignment="1"/>
    <xf numFmtId="2" fontId="3" fillId="0" borderId="4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/>
    <xf numFmtId="2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64" fontId="2" fillId="0" borderId="4" xfId="1" applyFont="1" applyFill="1" applyBorder="1" applyAlignment="1">
      <alignment horizontal="center" vertical="center"/>
    </xf>
    <xf numFmtId="164" fontId="2" fillId="0" borderId="5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167" fontId="2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wrapText="1"/>
    </xf>
    <xf numFmtId="4" fontId="3" fillId="0" borderId="10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6" fontId="3" fillId="0" borderId="4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A5DC1DE-1908-4BCA-A7DE-8CFFDA076547}" diskRevisions="1" revisionId="4">
  <header guid="{BDC10974-FF03-4ADD-942B-552B6AEAF738}" dateTime="2012-05-10T23:34:09" maxSheetId="4" userName="Siarhei_Kutsankou" r:id="rId1">
    <sheetIdMap count="3">
      <sheetId val="1"/>
      <sheetId val="2"/>
      <sheetId val="3"/>
    </sheetIdMap>
  </header>
  <header guid="{E312CA1C-F58C-4D19-BFC1-20151F65AF47}" dateTime="2012-05-10T23:37:08" maxSheetId="4" userName="Siarhei_Kutsankou" r:id="rId2" minRId="1" maxRId="2">
    <sheetIdMap count="3">
      <sheetId val="1"/>
      <sheetId val="2"/>
      <sheetId val="3"/>
    </sheetIdMap>
  </header>
  <header guid="{EA5DC1DE-1908-4BCA-A7DE-8CFFDA076547}" dateTime="2012-05-10T23:50:03" maxSheetId="4" userName="Siarhei_Kutsankou" r:id="rId3" minRId="3" maxRId="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revisionLog2.xml><?xml version="1.0" encoding="utf-8"?>
<revisions xmlns="http://schemas.openxmlformats.org/spreadsheetml/2006/main" xmlns:r="http://schemas.openxmlformats.org/officeDocument/2006/relationships">
  <rcc rId="1" sId="1">
    <oc r="C29">
      <v>1.04</v>
    </oc>
    <nc r="C29">
      <v>1</v>
    </nc>
  </rcc>
  <rcc rId="2" sId="1">
    <oc r="C30">
      <v>1.04</v>
    </oc>
    <nc r="C30">
      <v>1</v>
    </nc>
  </rcc>
  <rcv guid="{4FC9B848-A432-420E-96A3-650FD7E100EA}" action="delete"/>
  <rcv guid="{4FC9B848-A432-420E-96A3-650FD7E100EA}" action="add"/>
</revisions>
</file>

<file path=xl/revisions/revisionLog3.xml><?xml version="1.0" encoding="utf-8"?>
<revisions xmlns="http://schemas.openxmlformats.org/spreadsheetml/2006/main" xmlns:r="http://schemas.openxmlformats.org/officeDocument/2006/relationships">
  <rcc rId="3" sId="1">
    <oc r="J239">
      <f>F239/$M$2</f>
    </oc>
    <nc r="J239"/>
  </rcc>
  <rcc rId="4" sId="1">
    <oc r="M241">
      <f>(H243-H241)/H241</f>
    </oc>
    <nc r="M241"/>
  </rcc>
  <rcv guid="{4FC9B848-A432-420E-96A3-650FD7E100EA}" action="delete"/>
  <rcv guid="{4FC9B848-A432-420E-96A3-650FD7E100EA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EA5DC1DE-1908-4BCA-A7DE-8CFFDA076547}" name="Siarhei_Kutsankou" id="-940235187" dateTime="2012-05-10T23:58:5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39"/>
  <sheetViews>
    <sheetView tabSelected="1" zoomScale="60" zoomScaleNormal="60" workbookViewId="0">
      <selection activeCell="C359" sqref="C359"/>
    </sheetView>
  </sheetViews>
  <sheetFormatPr defaultRowHeight="18.75"/>
  <cols>
    <col min="1" max="2" width="9.140625" style="2"/>
    <col min="3" max="3" width="28.5703125" style="2" customWidth="1"/>
    <col min="4" max="4" width="19.85546875" style="2" bestFit="1" customWidth="1"/>
    <col min="5" max="5" width="48.7109375" style="2" bestFit="1" customWidth="1"/>
    <col min="6" max="6" width="35.28515625" style="2" bestFit="1" customWidth="1"/>
    <col min="7" max="7" width="10.140625" style="2" customWidth="1"/>
    <col min="8" max="8" width="9.5703125" style="2" bestFit="1" customWidth="1"/>
    <col min="9" max="9" width="26.85546875" style="2" bestFit="1" customWidth="1"/>
    <col min="10" max="10" width="14.28515625" style="2" customWidth="1"/>
    <col min="11" max="11" width="10.42578125" style="2" customWidth="1"/>
    <col min="12" max="12" width="9.28515625" style="2" bestFit="1" customWidth="1"/>
    <col min="13" max="13" width="9.140625" style="2"/>
    <col min="14" max="14" width="9.5703125" style="2" bestFit="1" customWidth="1"/>
    <col min="15" max="15" width="9.140625" style="2"/>
    <col min="16" max="16" width="9.140625" style="2" customWidth="1"/>
    <col min="17" max="17" width="1" style="2" customWidth="1"/>
    <col min="18" max="18" width="13" style="2" customWidth="1"/>
    <col min="19" max="19" width="14.42578125" style="2" customWidth="1"/>
    <col min="20" max="20" width="11.140625" style="2" customWidth="1"/>
    <col min="21" max="21" width="9.140625" style="2"/>
    <col min="22" max="22" width="10.5703125" style="2" bestFit="1" customWidth="1"/>
    <col min="23" max="16384" width="9.140625" style="2"/>
  </cols>
  <sheetData>
    <row r="1" spans="1:22">
      <c r="A1" s="97" t="s">
        <v>0</v>
      </c>
      <c r="B1" s="98"/>
      <c r="C1" s="98"/>
      <c r="D1" s="98"/>
      <c r="E1" s="98"/>
      <c r="F1" s="98"/>
      <c r="G1" s="98"/>
      <c r="H1" s="98"/>
      <c r="I1" s="99"/>
      <c r="J1" s="5" t="s">
        <v>8</v>
      </c>
      <c r="K1" s="1">
        <v>8</v>
      </c>
      <c r="M1" s="2" t="s">
        <v>486</v>
      </c>
    </row>
    <row r="2" spans="1:22">
      <c r="A2" s="6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7">
        <v>9</v>
      </c>
      <c r="J2" s="5" t="s">
        <v>6</v>
      </c>
      <c r="K2" s="1">
        <v>2</v>
      </c>
      <c r="L2" s="2" t="s">
        <v>11</v>
      </c>
      <c r="M2" s="2">
        <f>17785</f>
        <v>17785</v>
      </c>
      <c r="N2" s="2" t="s">
        <v>49</v>
      </c>
    </row>
    <row r="3" spans="1:22" ht="19.5" thickBot="1">
      <c r="A3" s="8">
        <v>2.2799999999999998</v>
      </c>
      <c r="B3" s="9">
        <v>1.1399999999999999</v>
      </c>
      <c r="C3" s="9">
        <v>1.1000000000000001</v>
      </c>
      <c r="D3" s="9">
        <v>3.4</v>
      </c>
      <c r="E3" s="9">
        <v>1.18</v>
      </c>
      <c r="F3" s="9">
        <v>1.1599999999999999</v>
      </c>
      <c r="G3" s="9">
        <v>2.2799999999999998</v>
      </c>
      <c r="H3" s="9">
        <v>2.2799999999999998</v>
      </c>
      <c r="I3" s="10">
        <v>1.1399999999999999</v>
      </c>
      <c r="J3" s="5" t="s">
        <v>7</v>
      </c>
      <c r="K3" s="1">
        <v>22</v>
      </c>
      <c r="L3" s="2" t="s">
        <v>10</v>
      </c>
      <c r="M3" s="2">
        <v>0.96</v>
      </c>
    </row>
    <row r="5" spans="1:22">
      <c r="A5" s="78" t="s">
        <v>1</v>
      </c>
      <c r="B5" s="79"/>
      <c r="C5" s="79"/>
      <c r="D5" s="79"/>
      <c r="E5" s="79"/>
      <c r="F5" s="79"/>
      <c r="G5" s="79"/>
      <c r="H5" s="79"/>
    </row>
    <row r="6" spans="1:22">
      <c r="L6" s="2" t="s">
        <v>57</v>
      </c>
      <c r="M6" s="2" t="s">
        <v>374</v>
      </c>
      <c r="N6" s="2" t="s">
        <v>58</v>
      </c>
      <c r="O6" s="2" t="s">
        <v>59</v>
      </c>
      <c r="P6" s="2" t="s">
        <v>411</v>
      </c>
      <c r="R6" s="2" t="s">
        <v>57</v>
      </c>
      <c r="S6" s="2" t="s">
        <v>382</v>
      </c>
      <c r="T6" s="2" t="s">
        <v>60</v>
      </c>
      <c r="U6" s="2" t="s">
        <v>59</v>
      </c>
      <c r="V6" s="2" t="s">
        <v>411</v>
      </c>
    </row>
    <row r="7" spans="1:22">
      <c r="A7" s="2" t="s">
        <v>2</v>
      </c>
      <c r="L7" s="2" t="s">
        <v>373</v>
      </c>
      <c r="M7" s="2" t="s">
        <v>226</v>
      </c>
      <c r="N7" s="2">
        <v>0.05</v>
      </c>
      <c r="O7" s="2">
        <v>1.53</v>
      </c>
      <c r="P7" s="2">
        <f t="shared" ref="P7:P12" si="0">N7*O7</f>
        <v>7.6500000000000012E-2</v>
      </c>
      <c r="R7" s="2" t="s">
        <v>383</v>
      </c>
      <c r="S7" s="2" t="s">
        <v>384</v>
      </c>
      <c r="T7" s="2">
        <v>5</v>
      </c>
      <c r="U7" s="2">
        <v>0.65</v>
      </c>
      <c r="V7" s="2">
        <f>T7*U7</f>
        <v>3.25</v>
      </c>
    </row>
    <row r="8" spans="1:22">
      <c r="L8" s="2" t="s">
        <v>377</v>
      </c>
      <c r="M8" s="2" t="s">
        <v>375</v>
      </c>
      <c r="N8" s="2">
        <v>1.2E-2</v>
      </c>
      <c r="O8" s="2">
        <v>0.32</v>
      </c>
      <c r="P8" s="2">
        <f t="shared" si="0"/>
        <v>3.8400000000000001E-3</v>
      </c>
      <c r="R8" s="2" t="s">
        <v>383</v>
      </c>
      <c r="S8" s="2" t="s">
        <v>385</v>
      </c>
      <c r="T8" s="2">
        <v>7</v>
      </c>
      <c r="U8" s="2">
        <v>0.7</v>
      </c>
      <c r="V8" s="2">
        <f t="shared" ref="V8:V24" si="1">T8*U8</f>
        <v>4.8999999999999995</v>
      </c>
    </row>
    <row r="9" spans="1:22">
      <c r="L9" s="2" t="s">
        <v>378</v>
      </c>
      <c r="M9" s="2" t="s">
        <v>376</v>
      </c>
      <c r="N9" s="2">
        <v>1E-3</v>
      </c>
      <c r="O9" s="2">
        <v>0.35</v>
      </c>
      <c r="P9" s="2">
        <f t="shared" si="0"/>
        <v>3.5E-4</v>
      </c>
      <c r="R9" s="2" t="s">
        <v>383</v>
      </c>
      <c r="S9" s="2" t="s">
        <v>386</v>
      </c>
      <c r="T9" s="2">
        <v>5</v>
      </c>
      <c r="U9" s="2">
        <v>0.85</v>
      </c>
      <c r="V9" s="2">
        <f t="shared" si="1"/>
        <v>4.25</v>
      </c>
    </row>
    <row r="10" spans="1:22">
      <c r="B10" s="2" t="s">
        <v>3</v>
      </c>
      <c r="D10" s="2">
        <f>9/G34</f>
        <v>0.6428571428571429</v>
      </c>
      <c r="F10" s="2" t="s">
        <v>421</v>
      </c>
      <c r="L10" s="2" t="s">
        <v>379</v>
      </c>
      <c r="M10" s="2" t="s">
        <v>375</v>
      </c>
      <c r="N10" s="2">
        <v>8.0000000000000002E-3</v>
      </c>
      <c r="O10" s="2">
        <v>0.32</v>
      </c>
      <c r="P10" s="2">
        <f t="shared" si="0"/>
        <v>2.5600000000000002E-3</v>
      </c>
      <c r="R10" s="2" t="s">
        <v>387</v>
      </c>
      <c r="S10" s="2" t="s">
        <v>396</v>
      </c>
      <c r="T10" s="2">
        <v>3</v>
      </c>
      <c r="U10" s="2">
        <v>0.97</v>
      </c>
      <c r="V10" s="2">
        <f t="shared" si="1"/>
        <v>2.91</v>
      </c>
    </row>
    <row r="11" spans="1:22">
      <c r="L11" s="2" t="s">
        <v>380</v>
      </c>
      <c r="M11" s="2" t="s">
        <v>225</v>
      </c>
      <c r="N11" s="2">
        <v>1.4999999999999999E-2</v>
      </c>
      <c r="O11" s="2">
        <v>1.2</v>
      </c>
      <c r="P11" s="2">
        <f t="shared" si="0"/>
        <v>1.7999999999999999E-2</v>
      </c>
      <c r="R11" s="2" t="s">
        <v>61</v>
      </c>
      <c r="S11" s="2" t="s">
        <v>397</v>
      </c>
      <c r="T11" s="2">
        <v>1</v>
      </c>
      <c r="U11" s="2">
        <v>1.1000000000000001</v>
      </c>
      <c r="V11" s="2">
        <f t="shared" si="1"/>
        <v>1.1000000000000001</v>
      </c>
    </row>
    <row r="12" spans="1:22">
      <c r="A12" s="2" t="s">
        <v>4</v>
      </c>
      <c r="L12" s="2" t="s">
        <v>381</v>
      </c>
      <c r="N12" s="2">
        <v>6.0000000000000001E-3</v>
      </c>
      <c r="O12" s="2">
        <v>1.23</v>
      </c>
      <c r="P12" s="2">
        <f t="shared" si="0"/>
        <v>7.3800000000000003E-3</v>
      </c>
      <c r="R12" s="2" t="s">
        <v>388</v>
      </c>
      <c r="S12" s="2" t="s">
        <v>398</v>
      </c>
      <c r="T12" s="2">
        <v>1</v>
      </c>
      <c r="U12" s="2">
        <v>1.45</v>
      </c>
      <c r="V12" s="2">
        <f t="shared" si="1"/>
        <v>1.45</v>
      </c>
    </row>
    <row r="13" spans="1:22">
      <c r="P13" s="2">
        <f>SUM(P7:P12)</f>
        <v>0.10863000000000002</v>
      </c>
      <c r="R13" s="2" t="s">
        <v>61</v>
      </c>
      <c r="S13" s="2" t="s">
        <v>399</v>
      </c>
      <c r="T13" s="2">
        <v>10</v>
      </c>
      <c r="U13" s="2">
        <v>1.1499999999999999</v>
      </c>
      <c r="V13" s="2">
        <f t="shared" si="1"/>
        <v>11.5</v>
      </c>
    </row>
    <row r="14" spans="1:22">
      <c r="R14" s="2" t="s">
        <v>61</v>
      </c>
      <c r="S14" s="2" t="s">
        <v>400</v>
      </c>
      <c r="T14" s="2">
        <v>7</v>
      </c>
      <c r="U14" s="2">
        <v>1.35</v>
      </c>
      <c r="V14" s="2">
        <f t="shared" si="1"/>
        <v>9.4500000000000011</v>
      </c>
    </row>
    <row r="15" spans="1:22">
      <c r="B15" s="2" t="s">
        <v>13</v>
      </c>
      <c r="C15" s="2">
        <f>SUM(A3:I3)/(9*E17)</f>
        <v>1.5555325389309764</v>
      </c>
      <c r="E15" s="2" t="s">
        <v>76</v>
      </c>
      <c r="R15" s="2" t="s">
        <v>389</v>
      </c>
      <c r="S15" s="2" t="s">
        <v>401</v>
      </c>
      <c r="T15" s="2">
        <v>1</v>
      </c>
      <c r="U15" s="2">
        <v>2.15</v>
      </c>
      <c r="V15" s="2">
        <f t="shared" si="1"/>
        <v>2.15</v>
      </c>
    </row>
    <row r="16" spans="1:22">
      <c r="E16" s="2" t="s">
        <v>422</v>
      </c>
      <c r="R16" s="2" t="s">
        <v>389</v>
      </c>
      <c r="S16" s="2" t="s">
        <v>402</v>
      </c>
      <c r="T16" s="2">
        <v>3</v>
      </c>
      <c r="U16" s="2">
        <v>2.4</v>
      </c>
      <c r="V16" s="2">
        <f t="shared" si="1"/>
        <v>7.1999999999999993</v>
      </c>
    </row>
    <row r="17" spans="1:22">
      <c r="A17" s="2" t="s">
        <v>5</v>
      </c>
      <c r="D17" s="2" t="s">
        <v>12</v>
      </c>
      <c r="E17" s="11">
        <f>E19/M2</f>
        <v>1.1400168681473151</v>
      </c>
      <c r="F17" s="2" t="s">
        <v>54</v>
      </c>
      <c r="R17" s="2" t="s">
        <v>389</v>
      </c>
      <c r="S17" s="2" t="s">
        <v>403</v>
      </c>
      <c r="T17" s="2">
        <v>2</v>
      </c>
      <c r="U17" s="2">
        <v>2.4500000000000002</v>
      </c>
      <c r="V17" s="2">
        <f t="shared" si="1"/>
        <v>4.9000000000000004</v>
      </c>
    </row>
    <row r="18" spans="1:22">
      <c r="R18" s="2" t="s">
        <v>389</v>
      </c>
      <c r="S18" s="2" t="s">
        <v>404</v>
      </c>
      <c r="T18" s="2">
        <v>1</v>
      </c>
      <c r="U18" s="2">
        <v>3.45</v>
      </c>
      <c r="V18" s="2">
        <f t="shared" si="1"/>
        <v>3.45</v>
      </c>
    </row>
    <row r="19" spans="1:22">
      <c r="A19" s="2" t="s">
        <v>420</v>
      </c>
      <c r="D19" s="2" t="s">
        <v>9</v>
      </c>
      <c r="E19" s="2">
        <f t="array" ref="E19">K1*K2*K3*M3*60</f>
        <v>20275.199999999997</v>
      </c>
      <c r="F19" s="2" t="s">
        <v>51</v>
      </c>
      <c r="R19" s="2" t="s">
        <v>390</v>
      </c>
      <c r="S19" s="2" t="s">
        <v>405</v>
      </c>
      <c r="T19" s="2">
        <v>4</v>
      </c>
      <c r="U19" s="2">
        <v>1.35</v>
      </c>
      <c r="V19" s="2">
        <f t="shared" si="1"/>
        <v>5.4</v>
      </c>
    </row>
    <row r="20" spans="1:22">
      <c r="R20" s="2" t="s">
        <v>391</v>
      </c>
      <c r="S20" s="2" t="s">
        <v>406</v>
      </c>
      <c r="T20" s="2">
        <v>5</v>
      </c>
      <c r="U20" s="2">
        <v>0.15</v>
      </c>
      <c r="V20" s="2">
        <f t="shared" si="1"/>
        <v>0.75</v>
      </c>
    </row>
    <row r="21" spans="1:22">
      <c r="R21" s="2" t="s">
        <v>392</v>
      </c>
      <c r="S21" s="2" t="s">
        <v>407</v>
      </c>
      <c r="T21" s="2">
        <v>7</v>
      </c>
      <c r="U21" s="2">
        <v>2.5099999999999998</v>
      </c>
      <c r="V21" s="2">
        <f t="shared" si="1"/>
        <v>17.57</v>
      </c>
    </row>
    <row r="22" spans="1:22">
      <c r="A22" s="65" t="s">
        <v>87</v>
      </c>
      <c r="B22" s="65"/>
      <c r="C22" s="65"/>
      <c r="D22" s="65"/>
      <c r="E22" s="65"/>
      <c r="F22" s="65"/>
      <c r="G22" s="65"/>
      <c r="H22" s="65"/>
      <c r="R22" s="2" t="s">
        <v>393</v>
      </c>
      <c r="S22" s="2" t="s">
        <v>408</v>
      </c>
      <c r="T22" s="2">
        <v>7</v>
      </c>
      <c r="U22" s="2">
        <v>1.45</v>
      </c>
      <c r="V22" s="2">
        <f t="shared" si="1"/>
        <v>10.15</v>
      </c>
    </row>
    <row r="23" spans="1:22" ht="45" customHeight="1">
      <c r="A23" s="61" t="s">
        <v>14</v>
      </c>
      <c r="B23" s="63" t="s">
        <v>15</v>
      </c>
      <c r="C23" s="63" t="s">
        <v>16</v>
      </c>
      <c r="D23" s="63" t="s">
        <v>17</v>
      </c>
      <c r="E23" s="63" t="s">
        <v>12</v>
      </c>
      <c r="F23" s="54" t="s">
        <v>20</v>
      </c>
      <c r="G23" s="55"/>
      <c r="H23" s="63" t="s">
        <v>21</v>
      </c>
      <c r="R23" s="2" t="s">
        <v>394</v>
      </c>
      <c r="S23" s="2" t="s">
        <v>409</v>
      </c>
      <c r="T23" s="2">
        <v>43</v>
      </c>
      <c r="U23" s="2">
        <v>0.3</v>
      </c>
      <c r="V23" s="2">
        <f t="shared" si="1"/>
        <v>12.9</v>
      </c>
    </row>
    <row r="24" spans="1:22" ht="15" customHeight="1">
      <c r="A24" s="62"/>
      <c r="B24" s="64"/>
      <c r="C24" s="64"/>
      <c r="D24" s="64"/>
      <c r="E24" s="64"/>
      <c r="F24" s="4" t="s">
        <v>18</v>
      </c>
      <c r="G24" s="4" t="s">
        <v>19</v>
      </c>
      <c r="H24" s="64"/>
      <c r="K24" s="72" t="s">
        <v>82</v>
      </c>
      <c r="L24" s="60" t="s">
        <v>83</v>
      </c>
      <c r="M24" s="60" t="s">
        <v>84</v>
      </c>
      <c r="N24" s="60" t="s">
        <v>85</v>
      </c>
      <c r="O24" s="60" t="s">
        <v>86</v>
      </c>
      <c r="P24" s="72"/>
      <c r="R24" s="2" t="s">
        <v>395</v>
      </c>
      <c r="S24" s="2" t="s">
        <v>410</v>
      </c>
      <c r="T24" s="2">
        <v>1</v>
      </c>
      <c r="U24" s="2">
        <v>0.95</v>
      </c>
      <c r="V24" s="2">
        <f t="shared" si="1"/>
        <v>0.95</v>
      </c>
    </row>
    <row r="25" spans="1:22">
      <c r="A25" s="4">
        <v>1</v>
      </c>
      <c r="B25" s="1">
        <f>A3</f>
        <v>2.2799999999999998</v>
      </c>
      <c r="C25" s="4">
        <v>1</v>
      </c>
      <c r="D25" s="4">
        <f t="array" ref="D25">B25/C25</f>
        <v>2.2799999999999998</v>
      </c>
      <c r="E25" s="12">
        <f t="array" ref="E25">$E$17</f>
        <v>1.1400168681473151</v>
      </c>
      <c r="F25" s="12">
        <f t="array" ref="F25">D25/E25</f>
        <v>1.9999704071969697</v>
      </c>
      <c r="G25" s="4">
        <v>2</v>
      </c>
      <c r="H25" s="12">
        <f>F25/G25</f>
        <v>0.99998520359848486</v>
      </c>
      <c r="K25" s="72"/>
      <c r="L25" s="60"/>
      <c r="M25" s="60"/>
      <c r="N25" s="72"/>
      <c r="O25" s="72"/>
      <c r="P25" s="72"/>
      <c r="V25" s="2">
        <f>SUM(V7:V24)</f>
        <v>104.23</v>
      </c>
    </row>
    <row r="26" spans="1:22">
      <c r="A26" s="4">
        <v>2</v>
      </c>
      <c r="B26" s="1">
        <f>B3</f>
        <v>1.1399999999999999</v>
      </c>
      <c r="C26" s="4">
        <v>1</v>
      </c>
      <c r="D26" s="4">
        <f t="array" ref="D26">B26/C26</f>
        <v>1.1399999999999999</v>
      </c>
      <c r="E26" s="12">
        <f t="array" ref="E26">$E$17</f>
        <v>1.1400168681473151</v>
      </c>
      <c r="F26" s="12">
        <f t="array" ref="F26">D26/E26</f>
        <v>0.99998520359848486</v>
      </c>
      <c r="G26" s="4">
        <v>1</v>
      </c>
      <c r="H26" s="12">
        <f t="array" ref="H26">F26/G26</f>
        <v>0.99998520359848486</v>
      </c>
      <c r="K26" s="74">
        <v>1</v>
      </c>
      <c r="L26" s="74">
        <v>2</v>
      </c>
      <c r="M26" s="1">
        <v>1</v>
      </c>
      <c r="N26" s="1">
        <f t="array" ref="N26">$C$46/L26</f>
        <v>3</v>
      </c>
      <c r="O26" s="72" t="s">
        <v>413</v>
      </c>
      <c r="P26" s="72"/>
    </row>
    <row r="27" spans="1:22">
      <c r="A27" s="4">
        <v>3</v>
      </c>
      <c r="B27" s="1">
        <f>C3</f>
        <v>1.1000000000000001</v>
      </c>
      <c r="C27" s="4">
        <v>1</v>
      </c>
      <c r="D27" s="4">
        <f t="array" ref="D27">B27/C27</f>
        <v>1.1000000000000001</v>
      </c>
      <c r="E27" s="12">
        <f t="array" ref="E27">$E$17</f>
        <v>1.1400168681473151</v>
      </c>
      <c r="F27" s="12">
        <f t="array" ref="F27">D27/E27</f>
        <v>0.96489800347222232</v>
      </c>
      <c r="G27" s="4">
        <v>1</v>
      </c>
      <c r="H27" s="12">
        <f t="array" ref="H27">F27/G27</f>
        <v>0.96489800347222232</v>
      </c>
      <c r="K27" s="75"/>
      <c r="L27" s="75"/>
      <c r="M27" s="1">
        <v>2</v>
      </c>
      <c r="N27" s="1">
        <f t="array" ref="N27">$C$46/L26</f>
        <v>3</v>
      </c>
      <c r="O27" s="72" t="s">
        <v>414</v>
      </c>
      <c r="P27" s="72"/>
    </row>
    <row r="28" spans="1:22">
      <c r="A28" s="4">
        <v>4</v>
      </c>
      <c r="B28" s="1">
        <f>D3</f>
        <v>3.4</v>
      </c>
      <c r="C28" s="4">
        <v>1</v>
      </c>
      <c r="D28" s="4">
        <f t="array" ref="D28">B28/C28</f>
        <v>3.4</v>
      </c>
      <c r="E28" s="12">
        <f t="array" ref="E28">$E$17</f>
        <v>1.1400168681473151</v>
      </c>
      <c r="F28" s="12">
        <f t="array" ref="F28">D28/E28</f>
        <v>2.9824120107323235</v>
      </c>
      <c r="G28" s="4">
        <v>3</v>
      </c>
      <c r="H28" s="12">
        <f t="array" ref="H28">F28/G28</f>
        <v>0.99413733691077455</v>
      </c>
      <c r="K28" s="1">
        <v>2</v>
      </c>
      <c r="L28" s="1">
        <v>1</v>
      </c>
      <c r="M28" s="1" t="s">
        <v>485</v>
      </c>
      <c r="N28" s="1">
        <f t="array" ref="N28">$C$46/L28</f>
        <v>6</v>
      </c>
      <c r="O28" s="72" t="s">
        <v>415</v>
      </c>
      <c r="P28" s="72"/>
    </row>
    <row r="29" spans="1:22">
      <c r="A29" s="4">
        <v>5</v>
      </c>
      <c r="B29" s="1">
        <f>E3</f>
        <v>1.18</v>
      </c>
      <c r="C29" s="4">
        <v>1</v>
      </c>
      <c r="D29" s="12">
        <f t="array" ref="D29">B29/C29</f>
        <v>1.18</v>
      </c>
      <c r="E29" s="12">
        <f t="array" ref="E29">$E$17</f>
        <v>1.1400168681473151</v>
      </c>
      <c r="F29" s="12">
        <f t="array" ref="F29">D29/E29</f>
        <v>1.0350724037247474</v>
      </c>
      <c r="G29" s="4">
        <v>1</v>
      </c>
      <c r="H29" s="12">
        <f t="array" ref="H29">F29/G29</f>
        <v>1.0350724037247474</v>
      </c>
      <c r="K29" s="1">
        <v>3</v>
      </c>
      <c r="L29" s="1">
        <v>1</v>
      </c>
      <c r="M29" s="1">
        <v>4</v>
      </c>
      <c r="N29" s="1">
        <f t="array" ref="N29">$C$46/L29</f>
        <v>6</v>
      </c>
      <c r="O29" s="72" t="s">
        <v>415</v>
      </c>
      <c r="P29" s="72"/>
    </row>
    <row r="30" spans="1:22">
      <c r="A30" s="4">
        <v>6</v>
      </c>
      <c r="B30" s="1">
        <f>F3</f>
        <v>1.1599999999999999</v>
      </c>
      <c r="C30" s="4">
        <v>1</v>
      </c>
      <c r="D30" s="4">
        <f t="array" ref="D30">B30/C30</f>
        <v>1.1599999999999999</v>
      </c>
      <c r="E30" s="12">
        <f t="array" ref="E30">$E$17</f>
        <v>1.1400168681473151</v>
      </c>
      <c r="F30" s="12">
        <f t="array" ref="F30">D30/E30</f>
        <v>1.0175288036616161</v>
      </c>
      <c r="G30" s="4">
        <v>1</v>
      </c>
      <c r="H30" s="12">
        <f t="array" ref="H30">F30/G30</f>
        <v>1.0175288036616161</v>
      </c>
      <c r="K30" s="74">
        <v>4</v>
      </c>
      <c r="L30" s="74">
        <v>3</v>
      </c>
      <c r="M30" s="13">
        <v>5</v>
      </c>
      <c r="N30" s="13">
        <f>$C$46/L30</f>
        <v>2</v>
      </c>
      <c r="O30" s="64">
        <v>1.4</v>
      </c>
      <c r="P30" s="64"/>
    </row>
    <row r="31" spans="1:22">
      <c r="A31" s="4">
        <v>7</v>
      </c>
      <c r="B31" s="1">
        <f>G3</f>
        <v>2.2799999999999998</v>
      </c>
      <c r="C31" s="4">
        <v>1</v>
      </c>
      <c r="D31" s="4">
        <f t="array" ref="D31">B31/C31</f>
        <v>2.2799999999999998</v>
      </c>
      <c r="E31" s="12">
        <f t="array" ref="E31">$E$17</f>
        <v>1.1400168681473151</v>
      </c>
      <c r="F31" s="12">
        <f t="array" ref="F31">D31/E31</f>
        <v>1.9999704071969697</v>
      </c>
      <c r="G31" s="4">
        <v>2</v>
      </c>
      <c r="H31" s="12">
        <f t="array" ref="H31">F31/G31</f>
        <v>0.99998520359848486</v>
      </c>
      <c r="K31" s="76"/>
      <c r="L31" s="76"/>
      <c r="M31" s="1">
        <v>6</v>
      </c>
      <c r="N31" s="1">
        <f t="array" ref="N31">$C$46/L30</f>
        <v>2</v>
      </c>
      <c r="O31" s="72">
        <v>2.5</v>
      </c>
      <c r="P31" s="72"/>
    </row>
    <row r="32" spans="1:22">
      <c r="A32" s="4">
        <v>8</v>
      </c>
      <c r="B32" s="1">
        <f>H3</f>
        <v>2.2799999999999998</v>
      </c>
      <c r="C32" s="4">
        <v>1</v>
      </c>
      <c r="D32" s="4">
        <f t="array" ref="D32">B32/C32</f>
        <v>2.2799999999999998</v>
      </c>
      <c r="E32" s="12">
        <f t="array" ref="E32">$E$17</f>
        <v>1.1400168681473151</v>
      </c>
      <c r="F32" s="12">
        <f t="array" ref="F32">D32/E32</f>
        <v>1.9999704071969697</v>
      </c>
      <c r="G32" s="4">
        <v>2</v>
      </c>
      <c r="H32" s="12">
        <f t="array" ref="H32">F32/G32</f>
        <v>0.99998520359848486</v>
      </c>
      <c r="K32" s="75"/>
      <c r="L32" s="75"/>
      <c r="M32" s="1">
        <v>7</v>
      </c>
      <c r="N32" s="1">
        <f t="array" ref="N32">$C$46/L30</f>
        <v>2</v>
      </c>
      <c r="O32" s="72">
        <v>3.6</v>
      </c>
      <c r="P32" s="72"/>
    </row>
    <row r="33" spans="1:16">
      <c r="A33" s="4">
        <v>9</v>
      </c>
      <c r="B33" s="2">
        <f>I3</f>
        <v>1.1399999999999999</v>
      </c>
      <c r="C33" s="4">
        <v>1</v>
      </c>
      <c r="D33" s="4">
        <f t="array" ref="D33">B33/C33</f>
        <v>1.1399999999999999</v>
      </c>
      <c r="E33" s="12">
        <f t="array" ref="E33">$E$17</f>
        <v>1.1400168681473151</v>
      </c>
      <c r="F33" s="12">
        <f t="array" ref="F33">D33/E33</f>
        <v>0.99998520359848486</v>
      </c>
      <c r="G33" s="4">
        <v>1</v>
      </c>
      <c r="H33" s="12">
        <f t="array" ref="H33">F33/G33</f>
        <v>0.99998520359848486</v>
      </c>
      <c r="K33" s="1">
        <v>5</v>
      </c>
      <c r="L33" s="1">
        <v>1</v>
      </c>
      <c r="M33" s="1">
        <v>8</v>
      </c>
      <c r="N33" s="1">
        <f t="array" ref="N33">$C$46/L33</f>
        <v>6</v>
      </c>
      <c r="O33" s="72" t="s">
        <v>415</v>
      </c>
      <c r="P33" s="72"/>
    </row>
    <row r="34" spans="1:16">
      <c r="A34" s="4" t="s">
        <v>22</v>
      </c>
      <c r="B34" s="4"/>
      <c r="C34" s="4"/>
      <c r="D34" s="4"/>
      <c r="E34" s="4"/>
      <c r="F34" s="12">
        <f>SUM(F25:F33)</f>
        <v>13.999792850378785</v>
      </c>
      <c r="G34" s="4">
        <f>SUM(G25:G33)</f>
        <v>14</v>
      </c>
      <c r="H34" s="12"/>
      <c r="K34" s="1">
        <v>6</v>
      </c>
      <c r="L34" s="1">
        <v>1</v>
      </c>
      <c r="M34" s="1">
        <v>9</v>
      </c>
      <c r="N34" s="1">
        <f t="array" ref="N34">$C$46/L34</f>
        <v>6</v>
      </c>
      <c r="O34" s="72" t="s">
        <v>415</v>
      </c>
      <c r="P34" s="72"/>
    </row>
    <row r="35" spans="1:16">
      <c r="K35" s="74">
        <v>7</v>
      </c>
      <c r="L35" s="74">
        <v>2</v>
      </c>
      <c r="M35" s="1">
        <v>10</v>
      </c>
      <c r="N35" s="1">
        <f t="array" ref="N35">$C$46/L35</f>
        <v>3</v>
      </c>
      <c r="O35" s="72" t="s">
        <v>413</v>
      </c>
      <c r="P35" s="72"/>
    </row>
    <row r="36" spans="1:16">
      <c r="A36" s="2" t="s">
        <v>23</v>
      </c>
      <c r="K36" s="75"/>
      <c r="L36" s="75"/>
      <c r="M36" s="1">
        <v>11</v>
      </c>
      <c r="N36" s="1">
        <f t="array" ref="N36">$C$46/L35</f>
        <v>3</v>
      </c>
      <c r="O36" s="72" t="s">
        <v>414</v>
      </c>
      <c r="P36" s="72"/>
    </row>
    <row r="37" spans="1:16">
      <c r="K37" s="74">
        <v>8</v>
      </c>
      <c r="L37" s="74">
        <v>2</v>
      </c>
      <c r="M37" s="1">
        <v>12</v>
      </c>
      <c r="N37" s="1">
        <f t="array" ref="N37">$C$46/L37</f>
        <v>3</v>
      </c>
      <c r="O37" s="72" t="s">
        <v>413</v>
      </c>
      <c r="P37" s="72"/>
    </row>
    <row r="38" spans="1:16">
      <c r="B38" s="2" t="s">
        <v>24</v>
      </c>
      <c r="C38" s="14">
        <f>F34/G34</f>
        <v>0.99998520359848464</v>
      </c>
      <c r="K38" s="75"/>
      <c r="L38" s="75"/>
      <c r="M38" s="1">
        <v>13</v>
      </c>
      <c r="N38" s="1">
        <f>$C$46/L37</f>
        <v>3</v>
      </c>
      <c r="O38" s="72" t="s">
        <v>414</v>
      </c>
      <c r="P38" s="72"/>
    </row>
    <row r="39" spans="1:16">
      <c r="K39" s="1">
        <v>9</v>
      </c>
      <c r="L39" s="1">
        <v>1</v>
      </c>
      <c r="M39" s="1">
        <v>14</v>
      </c>
      <c r="N39" s="1">
        <f>$C$46/L39</f>
        <v>6</v>
      </c>
      <c r="O39" s="72" t="s">
        <v>415</v>
      </c>
      <c r="P39" s="72"/>
    </row>
    <row r="40" spans="1:16">
      <c r="A40" s="2" t="s">
        <v>26</v>
      </c>
    </row>
    <row r="42" spans="1:16">
      <c r="B42" s="2" t="s">
        <v>25</v>
      </c>
      <c r="C42" s="15">
        <f t="array" ref="C42">F42/E17</f>
        <v>0.61402600220959602</v>
      </c>
      <c r="D42" s="2" t="s">
        <v>53</v>
      </c>
      <c r="E42" s="2" t="s">
        <v>78</v>
      </c>
      <c r="F42" s="2">
        <v>0.7</v>
      </c>
    </row>
    <row r="44" spans="1:16">
      <c r="A44" s="2" t="s">
        <v>28</v>
      </c>
    </row>
    <row r="46" spans="1:16">
      <c r="B46" s="2" t="s">
        <v>29</v>
      </c>
      <c r="C46" s="2">
        <f>LCM(G25:G33)</f>
        <v>6</v>
      </c>
    </row>
    <row r="48" spans="1:16">
      <c r="A48" s="2" t="s">
        <v>30</v>
      </c>
    </row>
    <row r="50" spans="1:9">
      <c r="B50" s="2" t="s">
        <v>31</v>
      </c>
      <c r="C50" s="2">
        <f>G34*F42</f>
        <v>9.7999999999999989</v>
      </c>
      <c r="D50" s="2" t="s">
        <v>52</v>
      </c>
    </row>
    <row r="52" spans="1:9">
      <c r="A52" s="2" t="s">
        <v>32</v>
      </c>
    </row>
    <row r="54" spans="1:9">
      <c r="B54" s="2" t="s">
        <v>33</v>
      </c>
      <c r="C54" s="2">
        <f>2*C50+3.14*F54</f>
        <v>20.855999999999998</v>
      </c>
      <c r="D54" s="2" t="s">
        <v>52</v>
      </c>
      <c r="E54" s="2" t="s">
        <v>34</v>
      </c>
      <c r="F54" s="2">
        <v>0.4</v>
      </c>
      <c r="G54" s="2" t="s">
        <v>52</v>
      </c>
    </row>
    <row r="55" spans="1:9">
      <c r="B55" s="2" t="s">
        <v>88</v>
      </c>
      <c r="C55" s="2">
        <f>G57*C46*F42</f>
        <v>21</v>
      </c>
      <c r="I55" s="2" t="s">
        <v>423</v>
      </c>
    </row>
    <row r="57" spans="1:9">
      <c r="A57" s="2" t="s">
        <v>35</v>
      </c>
      <c r="E57" s="2" t="s">
        <v>36</v>
      </c>
      <c r="F57" s="2">
        <f t="array" ref="F57">C54/(C46*F42)</f>
        <v>4.9657142857142862</v>
      </c>
      <c r="G57" s="2">
        <v>5</v>
      </c>
    </row>
    <row r="59" spans="1:9">
      <c r="A59" s="2" t="s">
        <v>37</v>
      </c>
    </row>
    <row r="61" spans="1:9">
      <c r="B61" s="2" t="s">
        <v>38</v>
      </c>
      <c r="C61" s="15">
        <f t="array" ref="C61">(2*G34-1)*E17</f>
        <v>30.780455439977509</v>
      </c>
      <c r="D61" s="2" t="s">
        <v>51</v>
      </c>
      <c r="F61" s="15">
        <f t="array" ref="F61">C61/2</f>
        <v>15.390227719988754</v>
      </c>
    </row>
    <row r="63" spans="1:9">
      <c r="A63" s="2" t="s">
        <v>39</v>
      </c>
    </row>
    <row r="65" spans="1:7">
      <c r="B65" s="2" t="s">
        <v>40</v>
      </c>
      <c r="C65" s="2">
        <f t="array" ref="C65">G34</f>
        <v>14</v>
      </c>
      <c r="D65" s="2" t="s">
        <v>49</v>
      </c>
    </row>
    <row r="67" spans="1:7">
      <c r="A67" s="2" t="s">
        <v>41</v>
      </c>
    </row>
    <row r="69" spans="1:7">
      <c r="B69" s="2" t="s">
        <v>42</v>
      </c>
      <c r="C69" s="2">
        <f t="array" ref="C69">G34-1</f>
        <v>13</v>
      </c>
      <c r="D69" s="2" t="s">
        <v>49</v>
      </c>
    </row>
    <row r="71" spans="1:7">
      <c r="A71" s="2" t="s">
        <v>43</v>
      </c>
    </row>
    <row r="73" spans="1:7">
      <c r="B73" s="2" t="s">
        <v>44</v>
      </c>
      <c r="C73" s="15">
        <f>0.05*G73/E17</f>
        <v>17.728007222885822</v>
      </c>
      <c r="D73" s="2" t="s">
        <v>49</v>
      </c>
      <c r="E73" s="2">
        <f>FLOOR(C73, 1)</f>
        <v>17</v>
      </c>
      <c r="F73" s="2" t="s">
        <v>79</v>
      </c>
      <c r="G73" s="15">
        <f>M2/(K2*K3)</f>
        <v>404.20454545454544</v>
      </c>
    </row>
    <row r="75" spans="1:7">
      <c r="A75" s="2" t="s">
        <v>45</v>
      </c>
    </row>
    <row r="77" spans="1:7">
      <c r="B77" s="2" t="s">
        <v>46</v>
      </c>
      <c r="C77" s="15">
        <f t="array" ref="C77">C65+C69+C73</f>
        <v>44.728007222885822</v>
      </c>
      <c r="D77" s="2" t="s">
        <v>49</v>
      </c>
      <c r="E77" s="2">
        <f>FLOOR(C77, 1)</f>
        <v>44</v>
      </c>
    </row>
    <row r="79" spans="1:7">
      <c r="A79" s="2" t="s">
        <v>47</v>
      </c>
    </row>
    <row r="81" spans="1:8">
      <c r="B81" s="2" t="s">
        <v>48</v>
      </c>
      <c r="C81" s="2">
        <f>E77*SUM(B25:B33)/(2*60)</f>
        <v>5.8520000000000003</v>
      </c>
      <c r="D81" s="2" t="s">
        <v>50</v>
      </c>
    </row>
    <row r="83" spans="1:8">
      <c r="A83" s="2" t="s">
        <v>55</v>
      </c>
    </row>
    <row r="85" spans="1:8">
      <c r="B85" s="2" t="s">
        <v>56</v>
      </c>
      <c r="C85" s="16">
        <f>E77*0.85*H239</f>
        <v>4160.966675506801</v>
      </c>
      <c r="D85" s="2" t="s">
        <v>62</v>
      </c>
      <c r="F85" s="2" t="s">
        <v>77</v>
      </c>
    </row>
    <row r="87" spans="1:8">
      <c r="A87" s="2" t="s">
        <v>63</v>
      </c>
    </row>
    <row r="89" spans="1:8">
      <c r="B89" s="2" t="s">
        <v>64</v>
      </c>
      <c r="C89" s="16">
        <f t="array" ref="C89">(1/E17)*60</f>
        <v>52.630800189393945</v>
      </c>
      <c r="D89" s="2" t="s">
        <v>65</v>
      </c>
    </row>
    <row r="91" spans="1:8">
      <c r="A91" s="2" t="s">
        <v>66</v>
      </c>
    </row>
    <row r="93" spans="1:8">
      <c r="B93" s="2" t="s">
        <v>67</v>
      </c>
      <c r="C93" s="16">
        <f t="array" ref="C93">C89*G93</f>
        <v>52.630800189393945</v>
      </c>
      <c r="D93" s="2" t="s">
        <v>70</v>
      </c>
      <c r="F93" s="2" t="s">
        <v>68</v>
      </c>
      <c r="G93" s="2">
        <v>1</v>
      </c>
      <c r="H93" s="2" t="s">
        <v>69</v>
      </c>
    </row>
    <row r="95" spans="1:8">
      <c r="A95" s="2" t="s">
        <v>71</v>
      </c>
    </row>
    <row r="97" spans="1:13">
      <c r="B97" s="2" t="s">
        <v>72</v>
      </c>
      <c r="C97" s="15">
        <f>0.736*C99</f>
        <v>0.82583659444444446</v>
      </c>
      <c r="D97" s="2" t="s">
        <v>75</v>
      </c>
    </row>
    <row r="99" spans="1:13">
      <c r="B99" s="2" t="s">
        <v>73</v>
      </c>
      <c r="C99" s="17">
        <f>1.2*0.16*C54*((C42*G99/36)+(C93/270))</f>
        <v>1.1220605902777778</v>
      </c>
      <c r="D99" s="2" t="s">
        <v>74</v>
      </c>
      <c r="F99" s="2" t="s">
        <v>80</v>
      </c>
      <c r="G99" s="2">
        <v>5</v>
      </c>
      <c r="H99" s="2" t="s">
        <v>81</v>
      </c>
    </row>
    <row r="102" spans="1:13">
      <c r="A102" s="65" t="s">
        <v>89</v>
      </c>
      <c r="B102" s="65"/>
      <c r="C102" s="65"/>
      <c r="D102" s="65"/>
      <c r="E102" s="65"/>
      <c r="F102" s="65"/>
      <c r="G102" s="65"/>
      <c r="H102" s="65"/>
    </row>
    <row r="104" spans="1:13">
      <c r="B104" s="77" t="s">
        <v>95</v>
      </c>
      <c r="C104" s="77"/>
      <c r="D104" s="77"/>
      <c r="E104" s="77"/>
      <c r="F104" s="77"/>
      <c r="G104" s="77"/>
      <c r="H104" s="77"/>
      <c r="J104" s="2" t="s">
        <v>102</v>
      </c>
    </row>
    <row r="106" spans="1:13" ht="43.5" customHeight="1">
      <c r="A106" s="59" t="s">
        <v>90</v>
      </c>
      <c r="B106" s="59"/>
      <c r="C106" s="18" t="s">
        <v>91</v>
      </c>
      <c r="D106" s="59" t="s">
        <v>92</v>
      </c>
      <c r="E106" s="59"/>
      <c r="F106" s="59" t="s">
        <v>93</v>
      </c>
      <c r="G106" s="59"/>
      <c r="H106" s="59" t="s">
        <v>94</v>
      </c>
      <c r="I106" s="59"/>
      <c r="J106" s="59" t="s">
        <v>478</v>
      </c>
      <c r="K106" s="59"/>
    </row>
    <row r="107" spans="1:13">
      <c r="A107" s="72" t="s">
        <v>436</v>
      </c>
      <c r="B107" s="72"/>
      <c r="C107" s="19" t="s">
        <v>417</v>
      </c>
      <c r="D107" s="1">
        <v>1150</v>
      </c>
      <c r="E107" s="1">
        <v>600</v>
      </c>
      <c r="F107" s="72">
        <v>2</v>
      </c>
      <c r="G107" s="72"/>
      <c r="H107" s="72">
        <v>4</v>
      </c>
      <c r="I107" s="72"/>
      <c r="J107" s="72">
        <f>D107*E107*F107*H107/1000000</f>
        <v>5.52</v>
      </c>
      <c r="K107" s="72"/>
    </row>
    <row r="108" spans="1:13">
      <c r="A108" s="60" t="s">
        <v>440</v>
      </c>
      <c r="B108" s="60"/>
      <c r="C108" s="19" t="s">
        <v>439</v>
      </c>
      <c r="D108" s="1">
        <v>1100</v>
      </c>
      <c r="E108" s="1">
        <v>650</v>
      </c>
      <c r="F108" s="72">
        <v>2</v>
      </c>
      <c r="G108" s="72"/>
      <c r="H108" s="72">
        <v>4</v>
      </c>
      <c r="I108" s="72"/>
      <c r="J108" s="72">
        <f>D108*E108*F108*H108/1000000</f>
        <v>5.72</v>
      </c>
      <c r="K108" s="72"/>
    </row>
    <row r="109" spans="1:13">
      <c r="A109" s="60" t="s">
        <v>444</v>
      </c>
      <c r="B109" s="60"/>
      <c r="C109" s="19" t="s">
        <v>445</v>
      </c>
      <c r="D109" s="1">
        <v>1200</v>
      </c>
      <c r="E109" s="1">
        <v>600</v>
      </c>
      <c r="F109" s="72">
        <v>1</v>
      </c>
      <c r="G109" s="72"/>
      <c r="H109" s="72">
        <v>4</v>
      </c>
      <c r="I109" s="72"/>
      <c r="J109" s="72">
        <f>D109*E109*F109*H109/1000000</f>
        <v>2.88</v>
      </c>
      <c r="K109" s="72"/>
    </row>
    <row r="110" spans="1:13">
      <c r="A110" s="60" t="s">
        <v>437</v>
      </c>
      <c r="B110" s="60"/>
      <c r="C110" s="19" t="s">
        <v>438</v>
      </c>
      <c r="D110" s="1">
        <v>1200</v>
      </c>
      <c r="E110" s="1">
        <v>700</v>
      </c>
      <c r="F110" s="72">
        <v>10</v>
      </c>
      <c r="G110" s="72"/>
      <c r="H110" s="72">
        <v>4</v>
      </c>
      <c r="I110" s="72"/>
      <c r="J110" s="72">
        <f>D110*E110*F110*H110/1000000</f>
        <v>33.6</v>
      </c>
      <c r="K110" s="72"/>
    </row>
    <row r="111" spans="1:13">
      <c r="A111" s="60" t="s">
        <v>104</v>
      </c>
      <c r="B111" s="60"/>
      <c r="C111" s="19" t="s">
        <v>356</v>
      </c>
      <c r="D111" s="1">
        <v>400</v>
      </c>
      <c r="E111" s="1">
        <v>9800</v>
      </c>
      <c r="F111" s="72">
        <v>1</v>
      </c>
      <c r="G111" s="72"/>
      <c r="H111" s="60">
        <v>3.5</v>
      </c>
      <c r="I111" s="60"/>
      <c r="J111" s="72">
        <f>D111*E111*F111*H111/1000000</f>
        <v>13.72</v>
      </c>
      <c r="K111" s="72"/>
    </row>
    <row r="112" spans="1:13" s="21" customFormat="1">
      <c r="A112" s="86" t="s">
        <v>22</v>
      </c>
      <c r="B112" s="87"/>
      <c r="C112" s="20"/>
      <c r="D112" s="20"/>
      <c r="E112" s="20"/>
      <c r="F112" s="88">
        <f>SUM(F107:G111)</f>
        <v>16</v>
      </c>
      <c r="G112" s="88"/>
      <c r="H112" s="88"/>
      <c r="I112" s="88"/>
      <c r="J112" s="88">
        <f t="array" ref="J112">SUM(J108:J111)</f>
        <v>55.92</v>
      </c>
      <c r="K112" s="88"/>
      <c r="M112" s="21" t="s">
        <v>441</v>
      </c>
    </row>
    <row r="113" spans="1:12">
      <c r="A113" s="22"/>
      <c r="B113" s="23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2">
      <c r="L114" s="11"/>
    </row>
    <row r="115" spans="1:12">
      <c r="B115" s="77" t="s">
        <v>96</v>
      </c>
      <c r="C115" s="77"/>
      <c r="D115" s="77"/>
      <c r="E115" s="77"/>
      <c r="F115" s="77"/>
      <c r="G115" s="77"/>
      <c r="H115" s="77"/>
    </row>
    <row r="117" spans="1:12" ht="30.75" customHeight="1">
      <c r="A117" s="59" t="s">
        <v>97</v>
      </c>
      <c r="B117" s="59"/>
      <c r="C117" s="59" t="s">
        <v>98</v>
      </c>
      <c r="D117" s="59"/>
      <c r="E117" s="59" t="s">
        <v>479</v>
      </c>
      <c r="F117" s="59"/>
      <c r="L117" s="20"/>
    </row>
    <row r="118" spans="1:12" ht="31.5" customHeight="1">
      <c r="A118" s="59" t="s">
        <v>99</v>
      </c>
      <c r="B118" s="59"/>
      <c r="C118" s="59" t="s">
        <v>101</v>
      </c>
      <c r="D118" s="59"/>
      <c r="E118" s="54">
        <f>J112</f>
        <v>55.92</v>
      </c>
      <c r="F118" s="55"/>
    </row>
    <row r="119" spans="1:12" ht="30" customHeight="1">
      <c r="A119" s="59" t="s">
        <v>100</v>
      </c>
      <c r="B119" s="59"/>
      <c r="C119" s="59" t="s">
        <v>103</v>
      </c>
      <c r="D119" s="59"/>
      <c r="E119" s="54">
        <f t="array" ref="E119">0.3*E118</f>
        <v>16.776</v>
      </c>
      <c r="F119" s="55"/>
    </row>
    <row r="120" spans="1:12">
      <c r="A120" s="102" t="s">
        <v>22</v>
      </c>
      <c r="B120" s="59"/>
      <c r="C120" s="59"/>
      <c r="D120" s="59"/>
      <c r="E120" s="54">
        <f t="array" ref="E120">SUM(E118:F119)</f>
        <v>72.695999999999998</v>
      </c>
      <c r="F120" s="55"/>
    </row>
    <row r="123" spans="1:12">
      <c r="A123" s="85" t="s">
        <v>105</v>
      </c>
      <c r="B123" s="65"/>
      <c r="C123" s="65"/>
      <c r="D123" s="65"/>
      <c r="E123" s="65"/>
      <c r="F123" s="65"/>
      <c r="G123" s="65"/>
      <c r="H123" s="65"/>
      <c r="I123" s="65"/>
    </row>
    <row r="125" spans="1:12" ht="32.25" customHeight="1">
      <c r="A125" s="59" t="s">
        <v>90</v>
      </c>
      <c r="B125" s="59"/>
      <c r="C125" s="59" t="s">
        <v>91</v>
      </c>
      <c r="D125" s="59" t="s">
        <v>106</v>
      </c>
      <c r="E125" s="59" t="s">
        <v>107</v>
      </c>
      <c r="F125" s="59"/>
    </row>
    <row r="126" spans="1:12">
      <c r="A126" s="59"/>
      <c r="B126" s="59"/>
      <c r="C126" s="59"/>
      <c r="D126" s="59"/>
      <c r="E126" s="1" t="s">
        <v>108</v>
      </c>
      <c r="F126" s="1" t="s">
        <v>109</v>
      </c>
    </row>
    <row r="127" spans="1:12">
      <c r="A127" s="53" t="s">
        <v>104</v>
      </c>
      <c r="B127" s="53"/>
      <c r="C127" s="19" t="s">
        <v>356</v>
      </c>
      <c r="D127" s="4">
        <v>1</v>
      </c>
      <c r="E127" s="12">
        <f t="array" ref="E127">C97</f>
        <v>0.82583659444444446</v>
      </c>
      <c r="F127" s="12">
        <f>D127*E127</f>
        <v>0.82583659444444446</v>
      </c>
    </row>
    <row r="128" spans="1:12">
      <c r="A128" s="53" t="s">
        <v>416</v>
      </c>
      <c r="B128" s="53"/>
      <c r="C128" s="19" t="s">
        <v>417</v>
      </c>
      <c r="D128" s="4">
        <v>2</v>
      </c>
      <c r="E128" s="12">
        <v>14</v>
      </c>
      <c r="F128" s="12">
        <f>D128*E128</f>
        <v>28</v>
      </c>
    </row>
    <row r="129" spans="1:12">
      <c r="A129" s="67" t="s">
        <v>418</v>
      </c>
      <c r="B129" s="69"/>
      <c r="C129" s="19" t="s">
        <v>419</v>
      </c>
      <c r="D129" s="4">
        <v>2</v>
      </c>
      <c r="E129" s="12">
        <v>14</v>
      </c>
      <c r="F129" s="12">
        <f>D129*E129</f>
        <v>28</v>
      </c>
    </row>
    <row r="130" spans="1:12">
      <c r="A130" s="103" t="s">
        <v>444</v>
      </c>
      <c r="B130" s="104"/>
      <c r="C130" s="19" t="s">
        <v>445</v>
      </c>
      <c r="D130" s="4">
        <v>1</v>
      </c>
      <c r="E130" s="12">
        <v>14</v>
      </c>
      <c r="F130" s="12">
        <f>D130*E130</f>
        <v>14</v>
      </c>
    </row>
    <row r="131" spans="1:12">
      <c r="A131" s="103" t="s">
        <v>442</v>
      </c>
      <c r="B131" s="104"/>
      <c r="C131" s="19" t="s">
        <v>443</v>
      </c>
      <c r="D131" s="4">
        <v>2</v>
      </c>
      <c r="E131" s="12">
        <v>0.05</v>
      </c>
      <c r="F131" s="12">
        <f>D131*E131</f>
        <v>0.1</v>
      </c>
    </row>
    <row r="132" spans="1:12">
      <c r="A132" s="66" t="s">
        <v>22</v>
      </c>
      <c r="B132" s="105"/>
      <c r="C132" s="4"/>
      <c r="D132" s="24">
        <f>SUM(D127:D131)</f>
        <v>8</v>
      </c>
      <c r="E132" s="24"/>
      <c r="F132" s="25">
        <f>SUM(F127:F131)</f>
        <v>70.925836594444434</v>
      </c>
    </row>
    <row r="135" spans="1:12">
      <c r="A135" s="65" t="s">
        <v>110</v>
      </c>
      <c r="B135" s="65"/>
      <c r="C135" s="65"/>
      <c r="D135" s="65"/>
      <c r="E135" s="65"/>
      <c r="F135" s="65"/>
      <c r="G135" s="65"/>
      <c r="H135" s="65"/>
    </row>
    <row r="137" spans="1:12">
      <c r="B137" s="65" t="s">
        <v>111</v>
      </c>
      <c r="C137" s="65"/>
      <c r="D137" s="65"/>
      <c r="E137" s="65"/>
      <c r="F137" s="65"/>
      <c r="G137" s="65"/>
      <c r="H137" s="65"/>
      <c r="I137" s="65"/>
    </row>
    <row r="139" spans="1:12" ht="45" customHeight="1">
      <c r="A139" s="59" t="s">
        <v>112</v>
      </c>
      <c r="B139" s="59"/>
      <c r="C139" s="59" t="s">
        <v>480</v>
      </c>
      <c r="D139" s="59"/>
      <c r="E139" s="59" t="s">
        <v>481</v>
      </c>
      <c r="F139" s="59"/>
      <c r="G139" s="59" t="s">
        <v>113</v>
      </c>
      <c r="H139" s="59"/>
      <c r="I139" s="59" t="s">
        <v>114</v>
      </c>
      <c r="J139" s="59"/>
      <c r="K139" s="59" t="s">
        <v>115</v>
      </c>
      <c r="L139" s="59"/>
    </row>
    <row r="140" spans="1:12" ht="29.25" customHeight="1">
      <c r="A140" s="60" t="s">
        <v>99</v>
      </c>
      <c r="B140" s="60"/>
      <c r="C140" s="72">
        <v>170</v>
      </c>
      <c r="D140" s="72"/>
      <c r="E140" s="92">
        <f t="array" ref="E140">E118</f>
        <v>55.92</v>
      </c>
      <c r="F140" s="93"/>
      <c r="G140" s="92">
        <f t="array" ref="G140">C140*E140</f>
        <v>9506.4</v>
      </c>
      <c r="H140" s="93"/>
      <c r="I140" s="92">
        <v>2.7</v>
      </c>
      <c r="J140" s="93"/>
      <c r="K140" s="92">
        <f>G140*I140/(100)</f>
        <v>256.67280000000005</v>
      </c>
      <c r="L140" s="93"/>
    </row>
    <row r="141" spans="1:12" ht="30" customHeight="1">
      <c r="A141" s="60" t="s">
        <v>116</v>
      </c>
      <c r="B141" s="60"/>
      <c r="C141" s="72">
        <v>250</v>
      </c>
      <c r="D141" s="72"/>
      <c r="E141" s="92">
        <f t="array" ref="E141">E119</f>
        <v>16.776</v>
      </c>
      <c r="F141" s="93"/>
      <c r="G141" s="92">
        <f t="array" ref="G141">C141*E141</f>
        <v>4194</v>
      </c>
      <c r="H141" s="93"/>
      <c r="I141" s="92">
        <v>3.1</v>
      </c>
      <c r="J141" s="93"/>
      <c r="K141" s="92">
        <f>G141*I141/(100)</f>
        <v>130.01400000000001</v>
      </c>
      <c r="L141" s="93"/>
    </row>
    <row r="142" spans="1:12">
      <c r="A142" s="84" t="s">
        <v>22</v>
      </c>
      <c r="B142" s="72"/>
      <c r="C142" s="54"/>
      <c r="D142" s="55"/>
      <c r="E142" s="106">
        <f t="array" ref="E142">SUM(E140:E141)</f>
        <v>72.695999999999998</v>
      </c>
      <c r="F142" s="107"/>
      <c r="G142" s="108">
        <f>SUM(G140:G141)</f>
        <v>13700.4</v>
      </c>
      <c r="H142" s="109"/>
      <c r="I142" s="26"/>
      <c r="J142" s="27"/>
      <c r="K142" s="106">
        <f t="array" ref="K142">SUM(K140:K141)</f>
        <v>386.68680000000006</v>
      </c>
      <c r="L142" s="107"/>
    </row>
    <row r="145" spans="1:15">
      <c r="B145" s="65" t="s">
        <v>117</v>
      </c>
      <c r="C145" s="65"/>
      <c r="D145" s="65"/>
      <c r="E145" s="65"/>
      <c r="F145" s="65"/>
      <c r="G145" s="65"/>
      <c r="H145" s="65"/>
      <c r="I145" s="65"/>
      <c r="K145" s="2" t="s">
        <v>446</v>
      </c>
    </row>
    <row r="147" spans="1:15" ht="16.5" customHeight="1">
      <c r="A147" s="59" t="s">
        <v>121</v>
      </c>
      <c r="B147" s="59"/>
      <c r="C147" s="59" t="s">
        <v>91</v>
      </c>
      <c r="D147" s="59" t="s">
        <v>122</v>
      </c>
      <c r="E147" s="59"/>
      <c r="F147" s="59" t="s">
        <v>118</v>
      </c>
      <c r="G147" s="59"/>
      <c r="H147" s="80" t="s">
        <v>123</v>
      </c>
      <c r="I147" s="81"/>
      <c r="J147" s="59" t="s">
        <v>124</v>
      </c>
      <c r="K147" s="59"/>
      <c r="L147" s="80" t="s">
        <v>129</v>
      </c>
      <c r="M147" s="81"/>
      <c r="N147" s="59" t="s">
        <v>115</v>
      </c>
      <c r="O147" s="59"/>
    </row>
    <row r="148" spans="1:15" ht="56.25">
      <c r="A148" s="59"/>
      <c r="B148" s="59"/>
      <c r="C148" s="59"/>
      <c r="D148" s="59"/>
      <c r="E148" s="59"/>
      <c r="F148" s="18" t="s">
        <v>119</v>
      </c>
      <c r="G148" s="18" t="s">
        <v>120</v>
      </c>
      <c r="H148" s="82"/>
      <c r="I148" s="83"/>
      <c r="J148" s="59"/>
      <c r="K148" s="59"/>
      <c r="L148" s="82"/>
      <c r="M148" s="83"/>
      <c r="N148" s="59"/>
      <c r="O148" s="59"/>
    </row>
    <row r="149" spans="1:15">
      <c r="A149" s="72" t="s">
        <v>436</v>
      </c>
      <c r="B149" s="72"/>
      <c r="C149" s="19" t="s">
        <v>417</v>
      </c>
      <c r="D149" s="72">
        <v>2</v>
      </c>
      <c r="E149" s="72"/>
      <c r="F149" s="18">
        <v>1250</v>
      </c>
      <c r="G149" s="18">
        <f>D149*F149</f>
        <v>2500</v>
      </c>
      <c r="H149" s="100">
        <f>0.1*G149</f>
        <v>250</v>
      </c>
      <c r="I149" s="101"/>
      <c r="J149" s="100">
        <f>G149+H149</f>
        <v>2750</v>
      </c>
      <c r="K149" s="101"/>
      <c r="L149" s="100">
        <v>14</v>
      </c>
      <c r="M149" s="101"/>
      <c r="N149" s="124">
        <f>L149*J149/(100)</f>
        <v>385</v>
      </c>
      <c r="O149" s="125"/>
    </row>
    <row r="150" spans="1:15">
      <c r="A150" s="60" t="s">
        <v>440</v>
      </c>
      <c r="B150" s="60"/>
      <c r="C150" s="19" t="s">
        <v>439</v>
      </c>
      <c r="D150" s="72">
        <v>2</v>
      </c>
      <c r="E150" s="72"/>
      <c r="F150" s="18">
        <v>1150</v>
      </c>
      <c r="G150" s="18">
        <f>D150*F150</f>
        <v>2300</v>
      </c>
      <c r="H150" s="100">
        <f>0.1*G150</f>
        <v>230</v>
      </c>
      <c r="I150" s="101"/>
      <c r="J150" s="100">
        <f>G150+H150</f>
        <v>2530</v>
      </c>
      <c r="K150" s="101"/>
      <c r="L150" s="100">
        <v>14.2</v>
      </c>
      <c r="M150" s="101"/>
      <c r="N150" s="124">
        <f>L150*J150/(100)</f>
        <v>359.26</v>
      </c>
      <c r="O150" s="125"/>
    </row>
    <row r="151" spans="1:15">
      <c r="A151" s="60" t="s">
        <v>444</v>
      </c>
      <c r="B151" s="60"/>
      <c r="C151" s="19" t="s">
        <v>445</v>
      </c>
      <c r="D151" s="72">
        <v>1</v>
      </c>
      <c r="E151" s="72"/>
      <c r="F151" s="18">
        <v>1050</v>
      </c>
      <c r="G151" s="18">
        <f>D151*F151</f>
        <v>1050</v>
      </c>
      <c r="H151" s="100">
        <f>0.1*G151</f>
        <v>105</v>
      </c>
      <c r="I151" s="101"/>
      <c r="J151" s="100">
        <f>G151+H151</f>
        <v>1155</v>
      </c>
      <c r="K151" s="101"/>
      <c r="L151" s="100">
        <v>14</v>
      </c>
      <c r="M151" s="101"/>
      <c r="N151" s="124">
        <f>L151*J151/(100)</f>
        <v>161.69999999999999</v>
      </c>
      <c r="O151" s="125"/>
    </row>
    <row r="152" spans="1:15">
      <c r="A152" s="60" t="s">
        <v>437</v>
      </c>
      <c r="B152" s="60"/>
      <c r="C152" s="19" t="s">
        <v>438</v>
      </c>
      <c r="D152" s="72">
        <v>10</v>
      </c>
      <c r="E152" s="72"/>
      <c r="F152" s="18">
        <v>360</v>
      </c>
      <c r="G152" s="18">
        <f>D152*F152</f>
        <v>3600</v>
      </c>
      <c r="H152" s="100">
        <f>0.1*G152</f>
        <v>360</v>
      </c>
      <c r="I152" s="101"/>
      <c r="J152" s="100">
        <f>G152+H152</f>
        <v>3960</v>
      </c>
      <c r="K152" s="101"/>
      <c r="L152" s="100">
        <v>7.7</v>
      </c>
      <c r="M152" s="101"/>
      <c r="N152" s="124">
        <f>L152*J152/(100)</f>
        <v>304.92</v>
      </c>
      <c r="O152" s="125"/>
    </row>
    <row r="153" spans="1:15">
      <c r="A153" s="60" t="s">
        <v>104</v>
      </c>
      <c r="B153" s="60"/>
      <c r="C153" s="19" t="s">
        <v>356</v>
      </c>
      <c r="D153" s="72">
        <v>1</v>
      </c>
      <c r="E153" s="72"/>
      <c r="F153" s="18">
        <f>(31.77*E111/1000)+((31.77*E111/1000)*0.4)</f>
        <v>435.88440000000003</v>
      </c>
      <c r="G153" s="18">
        <f>D153*F153</f>
        <v>435.88440000000003</v>
      </c>
      <c r="H153" s="100">
        <f>0.1*G153</f>
        <v>43.588440000000006</v>
      </c>
      <c r="I153" s="101"/>
      <c r="J153" s="100">
        <f>G153+H153</f>
        <v>479.47284000000002</v>
      </c>
      <c r="K153" s="101"/>
      <c r="L153" s="100">
        <v>12.2</v>
      </c>
      <c r="M153" s="101"/>
      <c r="N153" s="124">
        <f>L153*J153/(100)</f>
        <v>58.495686479999996</v>
      </c>
      <c r="O153" s="125"/>
    </row>
    <row r="154" spans="1:15">
      <c r="A154" s="73" t="s">
        <v>22</v>
      </c>
      <c r="B154" s="73"/>
      <c r="C154" s="28"/>
      <c r="D154" s="110">
        <f>SUM(D149:E153)</f>
        <v>16</v>
      </c>
      <c r="E154" s="111"/>
      <c r="F154" s="28"/>
      <c r="G154" s="29">
        <f>SUM(G149:G153)</f>
        <v>9885.8844000000008</v>
      </c>
      <c r="H154" s="112">
        <f>SUM(H149:I153)</f>
        <v>988.58843999999999</v>
      </c>
      <c r="I154" s="113"/>
      <c r="J154" s="112">
        <f>SUM(J149:K153)</f>
        <v>10874.47284</v>
      </c>
      <c r="K154" s="113"/>
      <c r="L154" s="116"/>
      <c r="M154" s="117"/>
      <c r="N154" s="112">
        <f>SUM(N149:O153)</f>
        <v>1269.37568648</v>
      </c>
      <c r="O154" s="113"/>
    </row>
    <row r="156" spans="1:15">
      <c r="A156" s="3"/>
      <c r="B156" s="3"/>
      <c r="C156" s="3"/>
    </row>
    <row r="157" spans="1:15">
      <c r="B157" s="65" t="s">
        <v>125</v>
      </c>
      <c r="C157" s="65"/>
      <c r="D157" s="65"/>
      <c r="E157" s="65"/>
      <c r="F157" s="65"/>
      <c r="G157" s="65"/>
      <c r="H157" s="65"/>
      <c r="I157" s="65"/>
      <c r="J157" s="65"/>
      <c r="K157" s="3"/>
    </row>
    <row r="159" spans="1:15" ht="75">
      <c r="A159" s="58" t="s">
        <v>126</v>
      </c>
      <c r="B159" s="58"/>
      <c r="C159" s="58"/>
      <c r="D159" s="30" t="s">
        <v>127</v>
      </c>
      <c r="E159" s="58" t="s">
        <v>128</v>
      </c>
      <c r="F159" s="58"/>
      <c r="G159" s="30" t="s">
        <v>129</v>
      </c>
      <c r="H159" s="58" t="s">
        <v>115</v>
      </c>
      <c r="I159" s="58"/>
    </row>
    <row r="160" spans="1:15">
      <c r="A160" s="58" t="s">
        <v>130</v>
      </c>
      <c r="B160" s="58"/>
      <c r="C160" s="58"/>
      <c r="D160" s="4" t="s">
        <v>134</v>
      </c>
      <c r="E160" s="92">
        <f t="array" ref="E160">G142</f>
        <v>13700.4</v>
      </c>
      <c r="F160" s="93"/>
      <c r="G160" s="31" t="s">
        <v>361</v>
      </c>
      <c r="H160" s="92">
        <f>K142</f>
        <v>386.68680000000006</v>
      </c>
      <c r="I160" s="93"/>
    </row>
    <row r="161" spans="1:10">
      <c r="A161" s="58" t="s">
        <v>131</v>
      </c>
      <c r="B161" s="58"/>
      <c r="C161" s="58"/>
      <c r="D161" s="4" t="s">
        <v>135</v>
      </c>
      <c r="E161" s="92">
        <f t="array" ref="E161">J154</f>
        <v>10874.47284</v>
      </c>
      <c r="F161" s="93"/>
      <c r="G161" s="31" t="s">
        <v>362</v>
      </c>
      <c r="H161" s="92">
        <f>N154</f>
        <v>1269.37568648</v>
      </c>
      <c r="I161" s="93"/>
    </row>
    <row r="162" spans="1:10">
      <c r="A162" s="58" t="s">
        <v>132</v>
      </c>
      <c r="B162" s="58"/>
      <c r="C162" s="58"/>
      <c r="D162" s="4" t="s">
        <v>136</v>
      </c>
      <c r="E162" s="92">
        <f>45*F132</f>
        <v>3191.6626467499996</v>
      </c>
      <c r="F162" s="93"/>
      <c r="G162" s="4">
        <v>8.1999999999999993</v>
      </c>
      <c r="H162" s="92">
        <f>E162*G162/(100)</f>
        <v>261.71633703349994</v>
      </c>
      <c r="I162" s="93"/>
    </row>
    <row r="163" spans="1:10">
      <c r="A163" s="121" t="s">
        <v>357</v>
      </c>
      <c r="B163" s="122"/>
      <c r="C163" s="123"/>
      <c r="D163" s="4" t="s">
        <v>358</v>
      </c>
      <c r="E163" s="92">
        <f t="array" ref="E163">J154*0.1</f>
        <v>1087.4472840000001</v>
      </c>
      <c r="F163" s="93"/>
      <c r="G163" s="4">
        <v>4.5</v>
      </c>
      <c r="H163" s="92">
        <f>E163*G163/(100)</f>
        <v>48.935127780000002</v>
      </c>
      <c r="I163" s="93"/>
    </row>
    <row r="164" spans="1:10">
      <c r="A164" s="121" t="s">
        <v>359</v>
      </c>
      <c r="B164" s="122"/>
      <c r="C164" s="123"/>
      <c r="D164" s="4" t="s">
        <v>360</v>
      </c>
      <c r="E164" s="92">
        <f t="array" ref="E164">0.02*G154</f>
        <v>197.71768800000001</v>
      </c>
      <c r="F164" s="93"/>
      <c r="G164" s="4">
        <v>11.5</v>
      </c>
      <c r="H164" s="92">
        <f>E164*G164/(100)</f>
        <v>22.737534119999999</v>
      </c>
      <c r="I164" s="93"/>
    </row>
    <row r="165" spans="1:10">
      <c r="A165" s="58" t="s">
        <v>133</v>
      </c>
      <c r="B165" s="58"/>
      <c r="C165" s="58"/>
      <c r="D165" s="4" t="s">
        <v>137</v>
      </c>
      <c r="E165" s="92">
        <f t="array" ref="E165">1.5*E161/100+15.4*G34</f>
        <v>378.7170926</v>
      </c>
      <c r="F165" s="93"/>
      <c r="G165" s="4">
        <f>18.5</f>
        <v>18.5</v>
      </c>
      <c r="H165" s="92">
        <f>E165*G165/(100)</f>
        <v>70.062662130999996</v>
      </c>
      <c r="I165" s="93"/>
    </row>
    <row r="166" spans="1:10">
      <c r="A166" s="66" t="s">
        <v>22</v>
      </c>
      <c r="B166" s="53"/>
      <c r="C166" s="53"/>
      <c r="D166" s="4"/>
      <c r="E166" s="106">
        <f t="array" ref="E166">SUM(E160:E165)</f>
        <v>29430.417551350001</v>
      </c>
      <c r="F166" s="107"/>
      <c r="G166" s="4"/>
      <c r="H166" s="106">
        <f t="array" ref="H166">SUM(H160:H165)</f>
        <v>2059.5141475444998</v>
      </c>
      <c r="I166" s="107"/>
    </row>
    <row r="169" spans="1:10">
      <c r="A169" s="65" t="s">
        <v>138</v>
      </c>
      <c r="B169" s="65"/>
      <c r="C169" s="65"/>
      <c r="D169" s="65"/>
      <c r="E169" s="65"/>
      <c r="F169" s="65"/>
      <c r="G169" s="65"/>
      <c r="H169" s="65"/>
      <c r="I169" s="65"/>
      <c r="J169" s="65"/>
    </row>
    <row r="171" spans="1:10">
      <c r="B171" s="65" t="s">
        <v>139</v>
      </c>
      <c r="C171" s="65"/>
      <c r="D171" s="65"/>
      <c r="E171" s="65"/>
      <c r="F171" s="65"/>
      <c r="G171" s="65"/>
      <c r="H171" s="65"/>
      <c r="I171" s="65"/>
      <c r="J171" s="65"/>
    </row>
    <row r="173" spans="1:10">
      <c r="B173" s="65" t="s">
        <v>140</v>
      </c>
      <c r="C173" s="65"/>
      <c r="D173" s="65"/>
      <c r="E173" s="65"/>
    </row>
    <row r="175" spans="1:10">
      <c r="C175" s="2" t="s">
        <v>144</v>
      </c>
      <c r="D175" s="2">
        <f t="array" ref="D175">G34</f>
        <v>14</v>
      </c>
    </row>
    <row r="177" spans="2:13">
      <c r="B177" s="65" t="s">
        <v>141</v>
      </c>
      <c r="C177" s="65"/>
      <c r="D177" s="65"/>
    </row>
    <row r="179" spans="2:13">
      <c r="C179" s="2" t="s">
        <v>142</v>
      </c>
      <c r="D179" s="2">
        <f>G34*K2/(1-I179)</f>
        <v>31.111111111111111</v>
      </c>
      <c r="E179" s="2">
        <v>31</v>
      </c>
      <c r="H179" s="2" t="s">
        <v>3</v>
      </c>
      <c r="I179" s="2">
        <v>0.1</v>
      </c>
    </row>
    <row r="181" spans="2:13">
      <c r="B181" s="65" t="s">
        <v>143</v>
      </c>
      <c r="C181" s="65"/>
      <c r="D181" s="65"/>
      <c r="E181" s="65"/>
      <c r="F181" s="65"/>
      <c r="G181" s="65"/>
      <c r="H181" s="65"/>
      <c r="I181" s="65"/>
      <c r="J181" s="65"/>
      <c r="M181" s="77" t="s">
        <v>447</v>
      </c>
    </row>
    <row r="182" spans="2:13">
      <c r="M182" s="77"/>
    </row>
    <row r="183" spans="2:13">
      <c r="C183" s="65" t="s">
        <v>145</v>
      </c>
      <c r="D183" s="65"/>
      <c r="E183" s="65"/>
      <c r="F183" s="65"/>
      <c r="G183" s="65"/>
      <c r="H183" s="65"/>
      <c r="M183" s="77"/>
    </row>
    <row r="184" spans="2:13">
      <c r="M184" s="77"/>
    </row>
    <row r="185" spans="2:13">
      <c r="D185" s="2" t="s">
        <v>482</v>
      </c>
      <c r="E185" s="2">
        <f>H185*K2*K3*M3</f>
        <v>42.239999999999995</v>
      </c>
      <c r="G185" s="2" t="s">
        <v>146</v>
      </c>
      <c r="H185" s="2">
        <v>1</v>
      </c>
      <c r="M185" s="77"/>
    </row>
    <row r="186" spans="2:13">
      <c r="M186" s="77"/>
    </row>
    <row r="187" spans="2:13">
      <c r="D187" s="2" t="s">
        <v>147</v>
      </c>
      <c r="E187" s="2">
        <f>H187*E185/60</f>
        <v>3.52</v>
      </c>
      <c r="G187" s="2" t="s">
        <v>148</v>
      </c>
      <c r="H187" s="2">
        <v>5</v>
      </c>
      <c r="I187" s="2" t="s">
        <v>51</v>
      </c>
      <c r="M187" s="77"/>
    </row>
    <row r="188" spans="2:13">
      <c r="M188" s="77"/>
    </row>
    <row r="189" spans="2:13">
      <c r="C189" s="65" t="s">
        <v>149</v>
      </c>
      <c r="D189" s="65"/>
      <c r="E189" s="65"/>
      <c r="F189" s="65"/>
      <c r="G189" s="65"/>
      <c r="H189" s="65"/>
      <c r="K189" s="2" t="s">
        <v>248</v>
      </c>
      <c r="M189" s="77"/>
    </row>
    <row r="190" spans="2:13">
      <c r="M190" s="77"/>
    </row>
    <row r="191" spans="2:13">
      <c r="D191" s="2" t="s">
        <v>154</v>
      </c>
      <c r="E191" s="2">
        <f t="array" ref="E191">H191*H192*E185/(H193*H194)</f>
        <v>1.0666666666666664</v>
      </c>
      <c r="F191" s="2">
        <v>1</v>
      </c>
      <c r="G191" s="2" t="s">
        <v>152</v>
      </c>
      <c r="H191" s="2">
        <v>0.5</v>
      </c>
      <c r="I191" s="2" t="s">
        <v>153</v>
      </c>
      <c r="K191" s="32" t="s">
        <v>249</v>
      </c>
      <c r="M191" s="77"/>
    </row>
    <row r="192" spans="2:13">
      <c r="G192" s="2" t="s">
        <v>150</v>
      </c>
      <c r="H192" s="2">
        <v>8</v>
      </c>
      <c r="M192" s="77"/>
    </row>
    <row r="193" spans="3:13">
      <c r="G193" s="2" t="s">
        <v>151</v>
      </c>
      <c r="H193" s="2">
        <f t="array" ref="H193">K3*K1*K193</f>
        <v>158.4</v>
      </c>
      <c r="I193" s="2" t="s">
        <v>153</v>
      </c>
      <c r="J193" s="2" t="s">
        <v>363</v>
      </c>
      <c r="K193" s="2">
        <v>0.9</v>
      </c>
      <c r="M193" s="77"/>
    </row>
    <row r="194" spans="3:13">
      <c r="G194" s="2" t="s">
        <v>16</v>
      </c>
      <c r="H194" s="2">
        <v>1</v>
      </c>
      <c r="M194" s="77"/>
    </row>
    <row r="195" spans="3:13">
      <c r="C195" s="65" t="s">
        <v>155</v>
      </c>
      <c r="D195" s="65"/>
      <c r="E195" s="65"/>
      <c r="F195" s="65"/>
      <c r="G195" s="65"/>
      <c r="H195" s="65"/>
      <c r="M195" s="77"/>
    </row>
    <row r="196" spans="3:13">
      <c r="M196" s="77"/>
    </row>
    <row r="197" spans="3:13">
      <c r="D197" s="2" t="s">
        <v>157</v>
      </c>
      <c r="E197" s="2">
        <f t="array" ref="E197">H198*H197*M2/(60*H193*H194)</f>
        <v>1.87131734006734</v>
      </c>
      <c r="F197" s="2">
        <v>2</v>
      </c>
      <c r="G197" s="2" t="s">
        <v>27</v>
      </c>
      <c r="H197" s="2">
        <v>0.5</v>
      </c>
      <c r="J197" s="2" t="s">
        <v>253</v>
      </c>
      <c r="K197" s="2">
        <v>3</v>
      </c>
      <c r="M197" s="77"/>
    </row>
    <row r="198" spans="3:13">
      <c r="G198" s="2" t="s">
        <v>156</v>
      </c>
      <c r="H198" s="2">
        <v>2</v>
      </c>
      <c r="M198" s="77"/>
    </row>
    <row r="199" spans="3:13">
      <c r="M199" s="77"/>
    </row>
    <row r="200" spans="3:13">
      <c r="C200" s="71" t="s">
        <v>158</v>
      </c>
      <c r="D200" s="71"/>
      <c r="E200" s="71"/>
      <c r="F200" s="71"/>
      <c r="G200" s="71"/>
      <c r="H200" s="71"/>
      <c r="M200" s="77"/>
    </row>
    <row r="201" spans="3:13">
      <c r="C201" s="71"/>
      <c r="D201" s="71"/>
      <c r="E201" s="71"/>
      <c r="F201" s="71"/>
      <c r="G201" s="71"/>
      <c r="H201" s="71"/>
      <c r="M201" s="77"/>
    </row>
    <row r="202" spans="3:13">
      <c r="M202" s="77"/>
    </row>
    <row r="203" spans="3:13">
      <c r="G203" s="2" t="s">
        <v>174</v>
      </c>
      <c r="M203" s="77"/>
    </row>
    <row r="204" spans="3:13">
      <c r="D204" s="2" t="s">
        <v>159</v>
      </c>
      <c r="G204" s="2">
        <v>2</v>
      </c>
      <c r="K204" s="32" t="s">
        <v>249</v>
      </c>
      <c r="M204" s="77"/>
    </row>
    <row r="205" spans="3:13">
      <c r="D205" s="2" t="s">
        <v>160</v>
      </c>
      <c r="G205" s="2">
        <v>2</v>
      </c>
      <c r="K205" s="2">
        <v>2</v>
      </c>
      <c r="M205" s="77"/>
    </row>
    <row r="206" spans="3:13">
      <c r="D206" s="2" t="s">
        <v>161</v>
      </c>
      <c r="G206" s="2">
        <v>2</v>
      </c>
      <c r="K206" s="2">
        <v>2</v>
      </c>
      <c r="M206" s="77"/>
    </row>
    <row r="207" spans="3:13">
      <c r="D207" s="2" t="s">
        <v>162</v>
      </c>
      <c r="F207" s="2" t="s">
        <v>163</v>
      </c>
      <c r="G207" s="2">
        <v>2</v>
      </c>
      <c r="K207" s="2">
        <v>2</v>
      </c>
      <c r="M207" s="77"/>
    </row>
    <row r="208" spans="3:13">
      <c r="D208" s="2" t="s">
        <v>164</v>
      </c>
      <c r="F208" s="2" t="s">
        <v>165</v>
      </c>
      <c r="G208" s="2">
        <v>2</v>
      </c>
      <c r="M208" s="77"/>
    </row>
    <row r="210" spans="1:9">
      <c r="B210" s="65" t="s">
        <v>166</v>
      </c>
      <c r="C210" s="65"/>
      <c r="D210" s="65"/>
      <c r="E210" s="65"/>
      <c r="F210" s="65"/>
      <c r="G210" s="65"/>
      <c r="H210" s="65"/>
      <c r="I210" s="65"/>
    </row>
    <row r="212" spans="1:9">
      <c r="A212" s="118" t="s">
        <v>167</v>
      </c>
      <c r="B212" s="118"/>
      <c r="C212" s="118"/>
      <c r="D212" s="118"/>
      <c r="E212" s="18" t="s">
        <v>168</v>
      </c>
      <c r="F212" s="59" t="s">
        <v>169</v>
      </c>
      <c r="G212" s="59"/>
    </row>
    <row r="213" spans="1:9">
      <c r="A213" s="53" t="s">
        <v>170</v>
      </c>
      <c r="B213" s="53"/>
      <c r="C213" s="53"/>
      <c r="D213" s="53"/>
      <c r="E213" s="4">
        <f t="array" ref="E213">E179</f>
        <v>31</v>
      </c>
      <c r="F213" s="92">
        <v>100</v>
      </c>
      <c r="G213" s="93"/>
    </row>
    <row r="214" spans="1:9">
      <c r="A214" s="89" t="s">
        <v>171</v>
      </c>
      <c r="B214" s="89"/>
      <c r="C214" s="89"/>
      <c r="D214" s="89"/>
      <c r="E214" s="33"/>
      <c r="F214" s="34"/>
      <c r="G214" s="35"/>
    </row>
    <row r="215" spans="1:9">
      <c r="A215" s="90" t="s">
        <v>172</v>
      </c>
      <c r="B215" s="90"/>
      <c r="C215" s="90"/>
      <c r="D215" s="90"/>
      <c r="E215" s="36"/>
      <c r="F215" s="37"/>
      <c r="G215" s="38"/>
    </row>
    <row r="216" spans="1:9">
      <c r="A216" s="53" t="s">
        <v>173</v>
      </c>
      <c r="B216" s="53"/>
      <c r="C216" s="53"/>
      <c r="D216" s="53"/>
      <c r="E216" s="4">
        <v>0</v>
      </c>
      <c r="F216" s="92">
        <f t="array" ref="F216">E216*$F$219/$E$219</f>
        <v>0</v>
      </c>
      <c r="G216" s="93"/>
    </row>
    <row r="217" spans="1:9">
      <c r="A217" s="53" t="s">
        <v>175</v>
      </c>
      <c r="B217" s="53"/>
      <c r="C217" s="53"/>
      <c r="D217" s="53"/>
      <c r="E217" s="4">
        <v>0</v>
      </c>
      <c r="F217" s="92">
        <f t="array" ref="F217">E217*$F$219/$E$219</f>
        <v>0</v>
      </c>
      <c r="G217" s="93"/>
    </row>
    <row r="218" spans="1:9">
      <c r="A218" s="53" t="s">
        <v>176</v>
      </c>
      <c r="B218" s="53"/>
      <c r="C218" s="53"/>
      <c r="D218" s="53"/>
      <c r="E218" s="4">
        <v>0</v>
      </c>
      <c r="F218" s="92">
        <f t="array" ref="F218">E218*$F$219/$E$219</f>
        <v>0</v>
      </c>
      <c r="G218" s="93"/>
    </row>
    <row r="219" spans="1:9">
      <c r="A219" s="91" t="s">
        <v>22</v>
      </c>
      <c r="B219" s="91"/>
      <c r="C219" s="91"/>
      <c r="D219" s="91"/>
      <c r="E219" s="4">
        <f t="array" ref="E219">E213+SUM(E216:E218)</f>
        <v>31</v>
      </c>
      <c r="F219" s="92">
        <f>100</f>
        <v>100</v>
      </c>
      <c r="G219" s="93"/>
      <c r="I219" s="2" t="s">
        <v>435</v>
      </c>
    </row>
    <row r="222" spans="1:9">
      <c r="A222" s="65" t="s">
        <v>177</v>
      </c>
      <c r="B222" s="65"/>
      <c r="C222" s="65"/>
      <c r="D222" s="65"/>
      <c r="E222" s="65"/>
      <c r="F222" s="65"/>
      <c r="G222" s="65"/>
      <c r="H222" s="65"/>
      <c r="I222" s="65"/>
    </row>
    <row r="224" spans="1:9">
      <c r="A224" s="59" t="s">
        <v>178</v>
      </c>
      <c r="B224" s="59"/>
      <c r="C224" s="59"/>
      <c r="D224" s="59"/>
      <c r="E224" s="18" t="s">
        <v>179</v>
      </c>
      <c r="F224" s="59" t="s">
        <v>180</v>
      </c>
      <c r="G224" s="59"/>
      <c r="H224" s="59" t="s">
        <v>181</v>
      </c>
      <c r="I224" s="59"/>
    </row>
    <row r="225" spans="1:14">
      <c r="A225" s="58" t="s">
        <v>182</v>
      </c>
      <c r="B225" s="58"/>
      <c r="C225" s="58"/>
      <c r="D225" s="58"/>
      <c r="E225" s="4" t="s">
        <v>196</v>
      </c>
      <c r="F225" s="56">
        <f>H225*$M$2</f>
        <v>2018.4408586125003</v>
      </c>
      <c r="G225" s="57"/>
      <c r="H225" s="51">
        <f>I266</f>
        <v>0.11349119250000002</v>
      </c>
      <c r="I225" s="52"/>
    </row>
    <row r="226" spans="1:14">
      <c r="A226" s="58" t="s">
        <v>183</v>
      </c>
      <c r="B226" s="58"/>
      <c r="C226" s="58"/>
      <c r="D226" s="58"/>
      <c r="E226" s="4" t="s">
        <v>197</v>
      </c>
      <c r="F226" s="56">
        <f t="array" ref="F226">H226*$M$2</f>
        <v>1946417.0775000001</v>
      </c>
      <c r="G226" s="57"/>
      <c r="H226" s="51">
        <f>H292</f>
        <v>109.4415</v>
      </c>
      <c r="I226" s="52"/>
    </row>
    <row r="227" spans="1:14">
      <c r="A227" s="58" t="s">
        <v>184</v>
      </c>
      <c r="B227" s="58"/>
      <c r="C227" s="58"/>
      <c r="D227" s="58"/>
      <c r="E227" s="4" t="s">
        <v>198</v>
      </c>
      <c r="F227" s="56">
        <f t="array" ref="F227">H227*$M$2</f>
        <v>5298.5071999999991</v>
      </c>
      <c r="G227" s="57"/>
      <c r="H227" s="51">
        <f>H309</f>
        <v>0.29791999999999996</v>
      </c>
      <c r="I227" s="52"/>
      <c r="M227" s="2" t="s">
        <v>448</v>
      </c>
    </row>
    <row r="228" spans="1:14">
      <c r="A228" s="58" t="s">
        <v>185</v>
      </c>
      <c r="B228" s="58"/>
      <c r="C228" s="58"/>
      <c r="D228" s="58"/>
      <c r="E228" s="4" t="s">
        <v>199</v>
      </c>
      <c r="F228" s="56">
        <f t="array" ref="F228">H228*$M$2</f>
        <v>2119.4028800000001</v>
      </c>
      <c r="G228" s="57"/>
      <c r="H228" s="51">
        <f t="array" ref="H228">D315</f>
        <v>0.119168</v>
      </c>
      <c r="I228" s="52"/>
      <c r="N228" s="2" t="s">
        <v>449</v>
      </c>
    </row>
    <row r="229" spans="1:14">
      <c r="A229" s="58" t="s">
        <v>186</v>
      </c>
      <c r="B229" s="58"/>
      <c r="C229" s="58"/>
      <c r="D229" s="58"/>
      <c r="E229" s="4" t="s">
        <v>200</v>
      </c>
      <c r="F229" s="56">
        <f>D322</f>
        <v>1.0427199999999999</v>
      </c>
      <c r="G229" s="57"/>
      <c r="H229" s="51">
        <f>F229/$M$2</f>
        <v>5.8629181894855207E-5</v>
      </c>
      <c r="I229" s="52"/>
      <c r="N229" s="2" t="s">
        <v>450</v>
      </c>
    </row>
    <row r="230" spans="1:14">
      <c r="A230" s="58" t="s">
        <v>187</v>
      </c>
      <c r="B230" s="58"/>
      <c r="C230" s="58"/>
      <c r="D230" s="58"/>
      <c r="E230" s="4" t="s">
        <v>201</v>
      </c>
      <c r="F230" s="56">
        <f t="array" ref="F230">C349</f>
        <v>2596.63348</v>
      </c>
      <c r="G230" s="57"/>
      <c r="H230" s="51">
        <f t="array" ref="H230">F230/$M$2</f>
        <v>0.14600132021366319</v>
      </c>
      <c r="I230" s="52"/>
    </row>
    <row r="231" spans="1:14">
      <c r="A231" s="58" t="s">
        <v>456</v>
      </c>
      <c r="B231" s="58"/>
      <c r="C231" s="58"/>
      <c r="D231" s="58"/>
      <c r="E231" s="4" t="s">
        <v>202</v>
      </c>
      <c r="F231" s="56">
        <f>C354</f>
        <v>370.94764000000004</v>
      </c>
      <c r="G231" s="57"/>
      <c r="H231" s="51">
        <f t="array" ref="H231">F231/$M$2</f>
        <v>2.0857331459094745E-2</v>
      </c>
      <c r="I231" s="52"/>
      <c r="N231" s="2" t="s">
        <v>451</v>
      </c>
    </row>
    <row r="232" spans="1:14">
      <c r="A232" s="58" t="s">
        <v>188</v>
      </c>
      <c r="B232" s="58"/>
      <c r="C232" s="58"/>
      <c r="D232" s="58"/>
      <c r="E232" s="4" t="s">
        <v>203</v>
      </c>
      <c r="F232" s="56">
        <f>C359</f>
        <v>309.09488589310723</v>
      </c>
      <c r="G232" s="57"/>
      <c r="H232" s="51">
        <f t="array" ref="H232">F232/$M$2</f>
        <v>1.7379526898684692E-2</v>
      </c>
      <c r="I232" s="52"/>
    </row>
    <row r="233" spans="1:14">
      <c r="A233" s="58" t="s">
        <v>189</v>
      </c>
      <c r="B233" s="58"/>
      <c r="C233" s="58"/>
      <c r="D233" s="58"/>
      <c r="E233" s="4" t="s">
        <v>204</v>
      </c>
      <c r="F233" s="56">
        <f t="array" ref="F233">C370</f>
        <v>529.85071999999991</v>
      </c>
      <c r="G233" s="57"/>
      <c r="H233" s="51">
        <f t="array" ref="H233">F233/$M$2</f>
        <v>2.9791999999999996E-2</v>
      </c>
      <c r="I233" s="52"/>
    </row>
    <row r="234" spans="1:14">
      <c r="A234" s="58" t="s">
        <v>190</v>
      </c>
      <c r="B234" s="58"/>
      <c r="C234" s="58"/>
      <c r="D234" s="58"/>
      <c r="E234" s="4" t="s">
        <v>205</v>
      </c>
      <c r="F234" s="56">
        <f t="array" ref="F234">C375</f>
        <v>529.85071999999991</v>
      </c>
      <c r="G234" s="57"/>
      <c r="H234" s="51">
        <f t="array" ref="H234">F234/$M$2</f>
        <v>2.9791999999999996E-2</v>
      </c>
      <c r="I234" s="52"/>
    </row>
    <row r="235" spans="1:14">
      <c r="A235" s="58" t="s">
        <v>191</v>
      </c>
      <c r="B235" s="58"/>
      <c r="C235" s="58"/>
      <c r="D235" s="58"/>
      <c r="E235" s="4" t="s">
        <v>206</v>
      </c>
      <c r="F235" s="56">
        <f t="array" ref="F235">C380</f>
        <v>171.62617896204165</v>
      </c>
      <c r="G235" s="57"/>
      <c r="H235" s="51">
        <f t="array" ref="H235">F235/$M$2</f>
        <v>9.6500522328952284E-3</v>
      </c>
      <c r="I235" s="52"/>
    </row>
    <row r="236" spans="1:14">
      <c r="A236" s="58" t="s">
        <v>192</v>
      </c>
      <c r="B236" s="58"/>
      <c r="C236" s="58"/>
      <c r="D236" s="58"/>
      <c r="E236" s="4" t="s">
        <v>207</v>
      </c>
      <c r="F236" s="56">
        <f t="array" ref="F236">C384</f>
        <v>5298.5071999999982</v>
      </c>
      <c r="G236" s="57"/>
      <c r="H236" s="51">
        <f t="array" ref="H236">F236/$M$2</f>
        <v>0.29791999999999991</v>
      </c>
      <c r="I236" s="52"/>
    </row>
    <row r="237" spans="1:14">
      <c r="A237" s="58" t="s">
        <v>193</v>
      </c>
      <c r="B237" s="58"/>
      <c r="C237" s="58"/>
      <c r="D237" s="58"/>
      <c r="E237" s="4" t="s">
        <v>208</v>
      </c>
      <c r="F237" s="56">
        <f t="array" ref="F237">C389</f>
        <v>3179.1043199999999</v>
      </c>
      <c r="G237" s="57"/>
      <c r="H237" s="51">
        <f t="array" ref="H237">F237/$M$2</f>
        <v>0.17875199999999999</v>
      </c>
      <c r="I237" s="52"/>
    </row>
    <row r="238" spans="1:14">
      <c r="A238" s="58" t="s">
        <v>279</v>
      </c>
      <c r="B238" s="58"/>
      <c r="C238" s="58"/>
      <c r="D238" s="58"/>
      <c r="E238" s="4" t="s">
        <v>209</v>
      </c>
      <c r="F238" s="56">
        <f t="array" ref="F238">C394</f>
        <v>9844.2004315173399</v>
      </c>
      <c r="G238" s="57"/>
      <c r="H238" s="51">
        <f t="array" ref="H238">F238/$M$2</f>
        <v>0.55351141026243122</v>
      </c>
      <c r="I238" s="52"/>
    </row>
    <row r="239" spans="1:14">
      <c r="A239" s="70" t="s">
        <v>194</v>
      </c>
      <c r="B239" s="70"/>
      <c r="C239" s="70"/>
      <c r="D239" s="70"/>
      <c r="E239" s="24" t="s">
        <v>210</v>
      </c>
      <c r="F239" s="56">
        <f>SUM(F225:F238)</f>
        <v>1978684.2867349852</v>
      </c>
      <c r="G239" s="57"/>
      <c r="H239" s="51">
        <f t="array" ref="H239">SUM(H225:H238)</f>
        <v>111.25579346274868</v>
      </c>
      <c r="I239" s="52"/>
    </row>
    <row r="240" spans="1:14">
      <c r="A240" s="58" t="s">
        <v>280</v>
      </c>
      <c r="B240" s="58"/>
      <c r="C240" s="58"/>
      <c r="D240" s="58"/>
      <c r="E240" s="4" t="s">
        <v>211</v>
      </c>
      <c r="F240" s="56">
        <f t="array" ref="F240">C398</f>
        <v>19786.842867349853</v>
      </c>
      <c r="G240" s="57"/>
      <c r="H240" s="51">
        <f t="array" ref="H240">F240/M2</f>
        <v>1.1125579346274868</v>
      </c>
      <c r="I240" s="52"/>
    </row>
    <row r="241" spans="1:12">
      <c r="A241" s="70" t="s">
        <v>195</v>
      </c>
      <c r="B241" s="70"/>
      <c r="C241" s="70"/>
      <c r="D241" s="70"/>
      <c r="E241" s="24" t="s">
        <v>212</v>
      </c>
      <c r="F241" s="56">
        <f>SUM(F239:F240)</f>
        <v>1998471.1296023349</v>
      </c>
      <c r="G241" s="57"/>
      <c r="H241" s="51">
        <f>SUM(H239:H240)</f>
        <v>112.36835139737617</v>
      </c>
      <c r="I241" s="52"/>
    </row>
    <row r="242" spans="1:12">
      <c r="A242" s="58" t="s">
        <v>281</v>
      </c>
      <c r="B242" s="58"/>
      <c r="C242" s="58"/>
      <c r="D242" s="58"/>
      <c r="E242" s="4" t="s">
        <v>213</v>
      </c>
      <c r="F242" s="56">
        <f t="array" ref="F242">C402</f>
        <v>599541.33888070052</v>
      </c>
      <c r="G242" s="57"/>
      <c r="H242" s="51">
        <f t="array" ref="H242">F242/M2</f>
        <v>33.710505419212851</v>
      </c>
      <c r="I242" s="52"/>
    </row>
    <row r="243" spans="1:12">
      <c r="A243" s="58" t="s">
        <v>282</v>
      </c>
      <c r="B243" s="58"/>
      <c r="C243" s="58"/>
      <c r="D243" s="58"/>
      <c r="E243" s="4" t="s">
        <v>214</v>
      </c>
      <c r="F243" s="56">
        <f t="array" ref="F243">C414</f>
        <v>2598012.4684830355</v>
      </c>
      <c r="G243" s="57"/>
      <c r="H243" s="51">
        <f t="array" ref="H243">SUM(H241:H242)</f>
        <v>146.07885681658902</v>
      </c>
      <c r="I243" s="52"/>
    </row>
    <row r="244" spans="1:12">
      <c r="A244" s="121" t="s">
        <v>461</v>
      </c>
      <c r="B244" s="122"/>
      <c r="C244" s="122"/>
      <c r="D244" s="123"/>
      <c r="E244" s="4" t="s">
        <v>463</v>
      </c>
      <c r="F244" s="56">
        <f>C406</f>
        <v>66615.704320077828</v>
      </c>
      <c r="G244" s="57"/>
      <c r="H244" s="51">
        <f>F244/$M$2</f>
        <v>3.7456117132458715</v>
      </c>
      <c r="I244" s="52"/>
    </row>
    <row r="245" spans="1:12">
      <c r="A245" s="126" t="s">
        <v>462</v>
      </c>
      <c r="B245" s="119"/>
      <c r="C245" s="119"/>
      <c r="D245" s="127"/>
      <c r="E245" s="4" t="s">
        <v>464</v>
      </c>
      <c r="F245" s="56">
        <f>C410</f>
        <v>54380.166791900272</v>
      </c>
      <c r="G245" s="57"/>
      <c r="H245" s="51">
        <f>F245/$M$2</f>
        <v>3.0576422148945892</v>
      </c>
      <c r="I245" s="52"/>
    </row>
    <row r="246" spans="1:12" s="21" customFormat="1">
      <c r="A246" s="119" t="s">
        <v>465</v>
      </c>
      <c r="B246" s="119"/>
      <c r="C246" s="119"/>
      <c r="D246" s="119"/>
      <c r="E246" s="4" t="s">
        <v>460</v>
      </c>
      <c r="F246" s="120">
        <f>C419</f>
        <v>2719008.3395950133</v>
      </c>
      <c r="G246" s="120"/>
      <c r="H246" s="51">
        <f>F246/$M$2</f>
        <v>152.88211074472946</v>
      </c>
      <c r="I246" s="52"/>
    </row>
    <row r="247" spans="1:12">
      <c r="A247" s="58" t="s">
        <v>466</v>
      </c>
      <c r="B247" s="58"/>
      <c r="C247" s="58"/>
      <c r="D247" s="58"/>
      <c r="E247" s="4" t="s">
        <v>215</v>
      </c>
      <c r="F247" s="56">
        <f t="array" ref="F247">C423</f>
        <v>543801.66791900259</v>
      </c>
      <c r="G247" s="57"/>
      <c r="H247" s="51">
        <f t="array" ref="H247">F247/M2</f>
        <v>30.576422148945888</v>
      </c>
      <c r="I247" s="52"/>
    </row>
    <row r="248" spans="1:12">
      <c r="A248" s="58" t="s">
        <v>467</v>
      </c>
      <c r="B248" s="58"/>
      <c r="C248" s="58"/>
      <c r="D248" s="58"/>
      <c r="E248" s="4" t="s">
        <v>216</v>
      </c>
      <c r="F248" s="56">
        <f>C428</f>
        <v>3262810.0075140158</v>
      </c>
      <c r="G248" s="57"/>
      <c r="H248" s="51">
        <f>F248/M2</f>
        <v>183.45853289367534</v>
      </c>
      <c r="I248" s="52"/>
    </row>
    <row r="251" spans="1:12">
      <c r="B251" s="65" t="s">
        <v>217</v>
      </c>
      <c r="C251" s="65"/>
      <c r="D251" s="65"/>
      <c r="E251" s="65"/>
      <c r="F251" s="65"/>
      <c r="G251" s="65"/>
      <c r="H251" s="65"/>
      <c r="I251" s="65"/>
      <c r="J251" s="65"/>
      <c r="K251" s="65"/>
      <c r="L251" s="65"/>
    </row>
    <row r="253" spans="1:12">
      <c r="B253" s="65" t="s">
        <v>218</v>
      </c>
      <c r="C253" s="65"/>
      <c r="D253" s="65"/>
      <c r="E253" s="65"/>
    </row>
    <row r="255" spans="1:12" ht="46.5" customHeight="1">
      <c r="A255" s="59" t="s">
        <v>219</v>
      </c>
      <c r="B255" s="59"/>
      <c r="C255" s="18" t="s">
        <v>220</v>
      </c>
      <c r="D255" s="18" t="s">
        <v>221</v>
      </c>
      <c r="E255" s="59" t="s">
        <v>222</v>
      </c>
      <c r="F255" s="59"/>
      <c r="G255" s="59" t="s">
        <v>223</v>
      </c>
      <c r="H255" s="59"/>
      <c r="I255" s="59" t="s">
        <v>224</v>
      </c>
      <c r="J255" s="59"/>
    </row>
    <row r="256" spans="1:12">
      <c r="A256" s="53" t="str">
        <f t="shared" ref="A256:A261" si="2">L7</f>
        <v>Припой трубчатый</v>
      </c>
      <c r="B256" s="53"/>
      <c r="C256" s="4" t="str">
        <f>M7</f>
        <v>ПОС-61</v>
      </c>
      <c r="D256" s="4" t="s">
        <v>69</v>
      </c>
      <c r="E256" s="54">
        <f t="shared" ref="E256:E261" si="3">N7</f>
        <v>0.05</v>
      </c>
      <c r="F256" s="55"/>
      <c r="G256" s="54">
        <f t="shared" ref="G256:G261" si="4">O7</f>
        <v>1.53</v>
      </c>
      <c r="H256" s="55"/>
      <c r="I256" s="51">
        <f t="array" ref="I256">E256*G256</f>
        <v>7.6500000000000012E-2</v>
      </c>
      <c r="J256" s="52"/>
    </row>
    <row r="257" spans="1:12">
      <c r="A257" s="53" t="str">
        <f t="shared" si="2"/>
        <v>Флюс канифольный</v>
      </c>
      <c r="B257" s="53"/>
      <c r="C257" s="4" t="str">
        <f>M8</f>
        <v>-</v>
      </c>
      <c r="D257" s="4" t="s">
        <v>69</v>
      </c>
      <c r="E257" s="54">
        <f t="shared" si="3"/>
        <v>1.2E-2</v>
      </c>
      <c r="F257" s="55"/>
      <c r="G257" s="54">
        <f t="shared" si="4"/>
        <v>0.32</v>
      </c>
      <c r="H257" s="55"/>
      <c r="I257" s="51">
        <f t="array" ref="I257">E257*G257</f>
        <v>3.8400000000000001E-3</v>
      </c>
      <c r="J257" s="52"/>
    </row>
    <row r="258" spans="1:12">
      <c r="A258" s="53" t="str">
        <f t="shared" si="2"/>
        <v>Флюс спиртоканифольный</v>
      </c>
      <c r="B258" s="53"/>
      <c r="C258" s="4" t="str">
        <f>M9</f>
        <v>ФКСА</v>
      </c>
      <c r="D258" s="4" t="s">
        <v>69</v>
      </c>
      <c r="E258" s="54">
        <f t="shared" si="3"/>
        <v>1E-3</v>
      </c>
      <c r="F258" s="55"/>
      <c r="G258" s="54">
        <f t="shared" si="4"/>
        <v>0.35</v>
      </c>
      <c r="H258" s="55"/>
      <c r="I258" s="51">
        <f t="array" ref="I258">E258*G258</f>
        <v>3.5E-4</v>
      </c>
      <c r="J258" s="52"/>
    </row>
    <row r="259" spans="1:12">
      <c r="A259" s="53" t="str">
        <f t="shared" si="2"/>
        <v>Канифоль сосновая</v>
      </c>
      <c r="B259" s="53"/>
      <c r="C259" s="4" t="str">
        <f>M10</f>
        <v>-</v>
      </c>
      <c r="D259" s="4" t="s">
        <v>69</v>
      </c>
      <c r="E259" s="54">
        <f t="shared" si="3"/>
        <v>8.0000000000000002E-3</v>
      </c>
      <c r="F259" s="55"/>
      <c r="G259" s="54">
        <f t="shared" si="4"/>
        <v>0.32</v>
      </c>
      <c r="H259" s="55"/>
      <c r="I259" s="51">
        <f t="array" ref="I259">E259*G259</f>
        <v>2.5600000000000002E-3</v>
      </c>
      <c r="J259" s="52"/>
    </row>
    <row r="260" spans="1:12">
      <c r="A260" s="53" t="str">
        <f t="shared" si="2"/>
        <v>Спирт этиловый</v>
      </c>
      <c r="B260" s="53"/>
      <c r="C260" s="4" t="str">
        <f>M11</f>
        <v>ГОСТ 18300-72</v>
      </c>
      <c r="D260" s="4" t="s">
        <v>227</v>
      </c>
      <c r="E260" s="54">
        <f t="shared" si="3"/>
        <v>1.4999999999999999E-2</v>
      </c>
      <c r="F260" s="55"/>
      <c r="G260" s="54">
        <f t="shared" si="4"/>
        <v>1.2</v>
      </c>
      <c r="H260" s="55"/>
      <c r="I260" s="51">
        <f t="array" ref="I260">E260*G260</f>
        <v>1.7999999999999999E-2</v>
      </c>
      <c r="J260" s="52"/>
    </row>
    <row r="261" spans="1:12">
      <c r="A261" s="53" t="str">
        <f t="shared" si="2"/>
        <v>Вата медицинская</v>
      </c>
      <c r="B261" s="53"/>
      <c r="C261" s="4" t="s">
        <v>375</v>
      </c>
      <c r="D261" s="4" t="s">
        <v>69</v>
      </c>
      <c r="E261" s="54">
        <f t="shared" si="3"/>
        <v>6.0000000000000001E-3</v>
      </c>
      <c r="F261" s="55"/>
      <c r="G261" s="54">
        <f t="shared" si="4"/>
        <v>1.23</v>
      </c>
      <c r="H261" s="55"/>
      <c r="I261" s="51">
        <f t="array" ref="I261">E261*G261</f>
        <v>7.3800000000000003E-3</v>
      </c>
      <c r="J261" s="52"/>
    </row>
    <row r="262" spans="1:12">
      <c r="A262" s="66" t="s">
        <v>22</v>
      </c>
      <c r="B262" s="66"/>
      <c r="C262" s="24"/>
      <c r="D262" s="24"/>
      <c r="E262" s="39"/>
      <c r="F262" s="40"/>
      <c r="G262" s="39"/>
      <c r="H262" s="40"/>
      <c r="I262" s="114">
        <f>SUM(I256:I261)</f>
        <v>0.10863000000000002</v>
      </c>
      <c r="J262" s="115"/>
    </row>
    <row r="263" spans="1:12">
      <c r="A263" s="58" t="s">
        <v>228</v>
      </c>
      <c r="B263" s="58"/>
      <c r="C263" s="4"/>
      <c r="D263" s="4"/>
      <c r="E263" s="41"/>
      <c r="F263" s="42"/>
      <c r="G263" s="41"/>
      <c r="H263" s="42"/>
      <c r="I263" s="51">
        <f>0.05*I262</f>
        <v>5.4315000000000014E-3</v>
      </c>
      <c r="J263" s="52"/>
    </row>
    <row r="264" spans="1:12">
      <c r="A264" s="66" t="s">
        <v>229</v>
      </c>
      <c r="B264" s="66"/>
      <c r="C264" s="24"/>
      <c r="D264" s="24"/>
      <c r="E264" s="39"/>
      <c r="F264" s="40"/>
      <c r="G264" s="39"/>
      <c r="H264" s="40"/>
      <c r="I264" s="114">
        <f>SUM(I262:I263)</f>
        <v>0.11406150000000002</v>
      </c>
      <c r="J264" s="115"/>
    </row>
    <row r="265" spans="1:12">
      <c r="A265" s="58" t="s">
        <v>230</v>
      </c>
      <c r="B265" s="58"/>
      <c r="C265" s="4"/>
      <c r="D265" s="4"/>
      <c r="E265" s="41"/>
      <c r="F265" s="42"/>
      <c r="G265" s="41"/>
      <c r="H265" s="42"/>
      <c r="I265" s="51">
        <f>0.005*I264</f>
        <v>5.703075000000001E-4</v>
      </c>
      <c r="J265" s="52"/>
    </row>
    <row r="266" spans="1:12">
      <c r="A266" s="70" t="s">
        <v>412</v>
      </c>
      <c r="B266" s="70"/>
      <c r="C266" s="24"/>
      <c r="D266" s="24"/>
      <c r="E266" s="39"/>
      <c r="F266" s="40"/>
      <c r="G266" s="39"/>
      <c r="H266" s="40"/>
      <c r="I266" s="114">
        <f t="array" ref="I266">I264-I265</f>
        <v>0.11349119250000002</v>
      </c>
      <c r="J266" s="115"/>
    </row>
    <row r="269" spans="1:12">
      <c r="B269" s="65" t="s">
        <v>452</v>
      </c>
      <c r="C269" s="65"/>
      <c r="D269" s="65"/>
      <c r="E269" s="65"/>
      <c r="F269" s="65"/>
      <c r="G269" s="65"/>
      <c r="H269" s="65"/>
      <c r="I269" s="65"/>
      <c r="J269" s="65"/>
      <c r="K269" s="65"/>
      <c r="L269" s="65"/>
    </row>
    <row r="271" spans="1:12" ht="45" customHeight="1">
      <c r="A271" s="59" t="s">
        <v>231</v>
      </c>
      <c r="B271" s="59"/>
      <c r="C271" s="59"/>
      <c r="D271" s="18" t="s">
        <v>221</v>
      </c>
      <c r="E271" s="18" t="s">
        <v>232</v>
      </c>
      <c r="F271" s="59" t="s">
        <v>233</v>
      </c>
      <c r="G271" s="59"/>
      <c r="H271" s="18" t="s">
        <v>234</v>
      </c>
      <c r="I271" s="43"/>
    </row>
    <row r="272" spans="1:12">
      <c r="A272" s="53" t="str">
        <f>R7</f>
        <v>Резистор</v>
      </c>
      <c r="B272" s="53"/>
      <c r="C272" s="53"/>
      <c r="D272" s="4" t="s">
        <v>235</v>
      </c>
      <c r="E272" s="4">
        <f>T7</f>
        <v>5</v>
      </c>
      <c r="F272" s="41">
        <f>U7</f>
        <v>0.65</v>
      </c>
      <c r="G272" s="42"/>
      <c r="H272" s="12">
        <f t="array" ref="H272">E272*F272</f>
        <v>3.25</v>
      </c>
    </row>
    <row r="273" spans="1:8">
      <c r="A273" s="53" t="str">
        <f t="shared" ref="A273:A281" si="5">R8</f>
        <v>Резистор</v>
      </c>
      <c r="B273" s="53"/>
      <c r="C273" s="53"/>
      <c r="D273" s="4" t="s">
        <v>235</v>
      </c>
      <c r="E273" s="4">
        <f t="shared" ref="E273:E289" si="6">T8</f>
        <v>7</v>
      </c>
      <c r="F273" s="41">
        <f t="shared" ref="F273:F289" si="7">U8</f>
        <v>0.7</v>
      </c>
      <c r="G273" s="42"/>
      <c r="H273" s="12">
        <f t="array" ref="H273">E273*F273</f>
        <v>4.8999999999999995</v>
      </c>
    </row>
    <row r="274" spans="1:8">
      <c r="A274" s="53" t="str">
        <f t="shared" si="5"/>
        <v>Резистор</v>
      </c>
      <c r="B274" s="53"/>
      <c r="C274" s="53"/>
      <c r="D274" s="4" t="s">
        <v>235</v>
      </c>
      <c r="E274" s="4">
        <f t="shared" si="6"/>
        <v>5</v>
      </c>
      <c r="F274" s="41">
        <f t="shared" si="7"/>
        <v>0.85</v>
      </c>
      <c r="G274" s="42"/>
      <c r="H274" s="12">
        <f t="array" ref="H274">E274*F274</f>
        <v>4.25</v>
      </c>
    </row>
    <row r="275" spans="1:8">
      <c r="A275" s="53" t="str">
        <f t="shared" si="5"/>
        <v>Потенциометр</v>
      </c>
      <c r="B275" s="53"/>
      <c r="C275" s="53"/>
      <c r="D275" s="4" t="s">
        <v>235</v>
      </c>
      <c r="E275" s="4">
        <f t="shared" si="6"/>
        <v>3</v>
      </c>
      <c r="F275" s="41">
        <f t="shared" si="7"/>
        <v>0.97</v>
      </c>
      <c r="G275" s="42"/>
      <c r="H275" s="12">
        <f t="array" ref="H275">E275*F275</f>
        <v>2.91</v>
      </c>
    </row>
    <row r="276" spans="1:8">
      <c r="A276" s="53" t="str">
        <f t="shared" si="5"/>
        <v>Конденсатор</v>
      </c>
      <c r="B276" s="53"/>
      <c r="C276" s="53"/>
      <c r="D276" s="4" t="s">
        <v>235</v>
      </c>
      <c r="E276" s="4">
        <f t="shared" si="6"/>
        <v>1</v>
      </c>
      <c r="F276" s="41">
        <f t="shared" si="7"/>
        <v>1.1000000000000001</v>
      </c>
      <c r="G276" s="42"/>
      <c r="H276" s="12">
        <f t="array" ref="H276">E276*F276</f>
        <v>1.1000000000000001</v>
      </c>
    </row>
    <row r="277" spans="1:8">
      <c r="A277" s="53" t="str">
        <f t="shared" si="5"/>
        <v>Электролит</v>
      </c>
      <c r="B277" s="53"/>
      <c r="C277" s="53"/>
      <c r="D277" s="4" t="s">
        <v>235</v>
      </c>
      <c r="E277" s="4">
        <f t="shared" si="6"/>
        <v>1</v>
      </c>
      <c r="F277" s="41">
        <f t="shared" si="7"/>
        <v>1.45</v>
      </c>
      <c r="G277" s="42"/>
      <c r="H277" s="12">
        <f t="array" ref="H277">E277*F277</f>
        <v>1.45</v>
      </c>
    </row>
    <row r="278" spans="1:8">
      <c r="A278" s="53" t="str">
        <f t="shared" si="5"/>
        <v>Конденсатор</v>
      </c>
      <c r="B278" s="53"/>
      <c r="C278" s="53"/>
      <c r="D278" s="4" t="s">
        <v>235</v>
      </c>
      <c r="E278" s="4">
        <f t="shared" si="6"/>
        <v>10</v>
      </c>
      <c r="F278" s="41">
        <f t="shared" si="7"/>
        <v>1.1499999999999999</v>
      </c>
      <c r="G278" s="42"/>
      <c r="H278" s="12">
        <f t="array" ref="H278">E278*F278</f>
        <v>11.5</v>
      </c>
    </row>
    <row r="279" spans="1:8">
      <c r="A279" s="53" t="str">
        <f t="shared" si="5"/>
        <v>Конденсатор</v>
      </c>
      <c r="B279" s="53"/>
      <c r="C279" s="53"/>
      <c r="D279" s="4" t="s">
        <v>235</v>
      </c>
      <c r="E279" s="4">
        <f t="shared" si="6"/>
        <v>7</v>
      </c>
      <c r="F279" s="41">
        <f t="shared" si="7"/>
        <v>1.35</v>
      </c>
      <c r="G279" s="42"/>
      <c r="H279" s="12">
        <f t="array" ref="H279">E279*F279</f>
        <v>9.4500000000000011</v>
      </c>
    </row>
    <row r="280" spans="1:8">
      <c r="A280" s="53" t="str">
        <f t="shared" si="5"/>
        <v>Радиолампа</v>
      </c>
      <c r="B280" s="53"/>
      <c r="C280" s="53"/>
      <c r="D280" s="4" t="s">
        <v>235</v>
      </c>
      <c r="E280" s="4">
        <f t="shared" si="6"/>
        <v>1</v>
      </c>
      <c r="F280" s="41">
        <f t="shared" si="7"/>
        <v>2.15</v>
      </c>
      <c r="G280" s="42"/>
      <c r="H280" s="12">
        <f t="array" ref="H280">E280*F280</f>
        <v>2.15</v>
      </c>
    </row>
    <row r="281" spans="1:8">
      <c r="A281" s="53" t="str">
        <f t="shared" si="5"/>
        <v>Радиолампа</v>
      </c>
      <c r="B281" s="53"/>
      <c r="C281" s="53"/>
      <c r="D281" s="4" t="s">
        <v>235</v>
      </c>
      <c r="E281" s="4">
        <f t="shared" si="6"/>
        <v>3</v>
      </c>
      <c r="F281" s="41">
        <f t="shared" si="7"/>
        <v>2.4</v>
      </c>
      <c r="G281" s="42"/>
      <c r="H281" s="12">
        <f t="array" ref="H281">E281*F281</f>
        <v>7.1999999999999993</v>
      </c>
    </row>
    <row r="282" spans="1:8">
      <c r="A282" s="53" t="str">
        <f t="shared" ref="A282:A289" si="8">R17</f>
        <v>Радиолампа</v>
      </c>
      <c r="B282" s="53"/>
      <c r="C282" s="53"/>
      <c r="D282" s="4" t="s">
        <v>235</v>
      </c>
      <c r="E282" s="4">
        <f t="shared" si="6"/>
        <v>2</v>
      </c>
      <c r="F282" s="41">
        <f t="shared" si="7"/>
        <v>2.4500000000000002</v>
      </c>
      <c r="G282" s="42"/>
      <c r="H282" s="12">
        <f t="array" ref="H282">E282*F282</f>
        <v>4.9000000000000004</v>
      </c>
    </row>
    <row r="283" spans="1:8">
      <c r="A283" s="53" t="str">
        <f t="shared" si="8"/>
        <v>Радиолампа</v>
      </c>
      <c r="B283" s="53"/>
      <c r="C283" s="53"/>
      <c r="D283" s="4" t="s">
        <v>235</v>
      </c>
      <c r="E283" s="4">
        <f t="shared" si="6"/>
        <v>1</v>
      </c>
      <c r="F283" s="41">
        <f t="shared" si="7"/>
        <v>3.45</v>
      </c>
      <c r="G283" s="42"/>
      <c r="H283" s="12">
        <f t="array" ref="H283">E283*F283</f>
        <v>3.45</v>
      </c>
    </row>
    <row r="284" spans="1:8">
      <c r="A284" s="53" t="str">
        <f t="shared" si="8"/>
        <v>Дриод</v>
      </c>
      <c r="B284" s="53"/>
      <c r="C284" s="53"/>
      <c r="D284" s="4" t="s">
        <v>235</v>
      </c>
      <c r="E284" s="4">
        <f t="shared" si="6"/>
        <v>4</v>
      </c>
      <c r="F284" s="41">
        <f t="shared" si="7"/>
        <v>1.35</v>
      </c>
      <c r="G284" s="42"/>
      <c r="H284" s="12">
        <f t="array" ref="H284">E284*F284</f>
        <v>5.4</v>
      </c>
    </row>
    <row r="285" spans="1:8">
      <c r="A285" s="53" t="str">
        <f t="shared" si="8"/>
        <v>Дроссель</v>
      </c>
      <c r="B285" s="53"/>
      <c r="C285" s="53"/>
      <c r="D285" s="4" t="s">
        <v>235</v>
      </c>
      <c r="E285" s="4">
        <f t="shared" si="6"/>
        <v>5</v>
      </c>
      <c r="F285" s="41">
        <f t="shared" si="7"/>
        <v>0.15</v>
      </c>
      <c r="G285" s="42"/>
      <c r="H285" s="12">
        <f t="array" ref="H285">E285*F285</f>
        <v>0.75</v>
      </c>
    </row>
    <row r="286" spans="1:8">
      <c r="A286" s="53" t="str">
        <f t="shared" si="8"/>
        <v>Фильтр</v>
      </c>
      <c r="B286" s="53"/>
      <c r="C286" s="53"/>
      <c r="D286" s="4" t="s">
        <v>235</v>
      </c>
      <c r="E286" s="4">
        <f t="shared" si="6"/>
        <v>7</v>
      </c>
      <c r="F286" s="41">
        <f t="shared" si="7"/>
        <v>2.5099999999999998</v>
      </c>
      <c r="G286" s="42"/>
      <c r="H286" s="12">
        <f t="array" ref="H286">E286*F286</f>
        <v>17.57</v>
      </c>
    </row>
    <row r="287" spans="1:8">
      <c r="A287" s="53" t="str">
        <f t="shared" si="8"/>
        <v>Панель ламповая</v>
      </c>
      <c r="B287" s="53"/>
      <c r="C287" s="53"/>
      <c r="D287" s="4" t="s">
        <v>235</v>
      </c>
      <c r="E287" s="4">
        <f t="shared" si="6"/>
        <v>7</v>
      </c>
      <c r="F287" s="41">
        <f t="shared" si="7"/>
        <v>1.45</v>
      </c>
      <c r="G287" s="42"/>
      <c r="H287" s="12">
        <f t="array" ref="H287">E287*F287</f>
        <v>10.15</v>
      </c>
    </row>
    <row r="288" spans="1:8">
      <c r="A288" s="53" t="str">
        <f t="shared" si="8"/>
        <v>заклепка гетинаксовая</v>
      </c>
      <c r="B288" s="53"/>
      <c r="C288" s="53"/>
      <c r="D288" s="4" t="s">
        <v>235</v>
      </c>
      <c r="E288" s="4">
        <f t="shared" si="6"/>
        <v>43</v>
      </c>
      <c r="F288" s="41">
        <f t="shared" si="7"/>
        <v>0.3</v>
      </c>
      <c r="G288" s="42"/>
      <c r="H288" s="12">
        <f t="array" ref="H288">E288*F288</f>
        <v>12.9</v>
      </c>
    </row>
    <row r="289" spans="1:10">
      <c r="A289" s="53" t="str">
        <f t="shared" si="8"/>
        <v>Плата</v>
      </c>
      <c r="B289" s="53"/>
      <c r="C289" s="53"/>
      <c r="D289" s="4" t="s">
        <v>235</v>
      </c>
      <c r="E289" s="4">
        <f t="shared" si="6"/>
        <v>1</v>
      </c>
      <c r="F289" s="41">
        <f t="shared" si="7"/>
        <v>0.95</v>
      </c>
      <c r="G289" s="42"/>
      <c r="H289" s="12">
        <f t="array" ref="H289">E289*F289</f>
        <v>0.95</v>
      </c>
    </row>
    <row r="290" spans="1:10">
      <c r="A290" s="66" t="s">
        <v>22</v>
      </c>
      <c r="B290" s="66"/>
      <c r="C290" s="66"/>
      <c r="D290" s="24"/>
      <c r="E290" s="24"/>
      <c r="F290" s="39"/>
      <c r="G290" s="40"/>
      <c r="H290" s="25">
        <f>SUM(H272:H289)</f>
        <v>104.23</v>
      </c>
    </row>
    <row r="291" spans="1:10">
      <c r="A291" s="58" t="s">
        <v>236</v>
      </c>
      <c r="B291" s="58"/>
      <c r="C291" s="58"/>
      <c r="D291" s="4"/>
      <c r="E291" s="4"/>
      <c r="F291" s="41"/>
      <c r="G291" s="42"/>
      <c r="H291" s="12">
        <f>0.05*H290</f>
        <v>5.2115000000000009</v>
      </c>
    </row>
    <row r="292" spans="1:10">
      <c r="A292" s="66" t="s">
        <v>229</v>
      </c>
      <c r="B292" s="66"/>
      <c r="C292" s="66"/>
      <c r="D292" s="24"/>
      <c r="E292" s="24"/>
      <c r="F292" s="39"/>
      <c r="G292" s="40"/>
      <c r="H292" s="25">
        <f>SUM(H290:H291)</f>
        <v>109.4415</v>
      </c>
      <c r="I292" s="44"/>
    </row>
    <row r="295" spans="1:10">
      <c r="B295" s="65" t="s">
        <v>237</v>
      </c>
      <c r="C295" s="65"/>
      <c r="D295" s="65"/>
      <c r="E295" s="65"/>
      <c r="F295" s="65"/>
      <c r="G295" s="65"/>
      <c r="H295" s="65"/>
      <c r="I295" s="65"/>
      <c r="J295" s="65"/>
    </row>
    <row r="297" spans="1:10">
      <c r="A297" s="59" t="s">
        <v>238</v>
      </c>
      <c r="B297" s="59"/>
      <c r="C297" s="59"/>
      <c r="D297" s="18" t="s">
        <v>239</v>
      </c>
      <c r="E297" s="18" t="s">
        <v>240</v>
      </c>
      <c r="F297" s="59" t="s">
        <v>241</v>
      </c>
      <c r="G297" s="59"/>
      <c r="H297" s="59" t="s">
        <v>242</v>
      </c>
      <c r="I297" s="59"/>
    </row>
    <row r="298" spans="1:10">
      <c r="A298" s="60">
        <v>1</v>
      </c>
      <c r="B298" s="60"/>
      <c r="C298" s="60"/>
      <c r="D298" s="4">
        <v>2</v>
      </c>
      <c r="E298" s="1">
        <f>B25</f>
        <v>2.2799999999999998</v>
      </c>
      <c r="F298" s="54">
        <v>0.8</v>
      </c>
      <c r="G298" s="55"/>
      <c r="H298" s="51">
        <f>E298*F298/60</f>
        <v>3.0399999999999996E-2</v>
      </c>
      <c r="I298" s="52"/>
    </row>
    <row r="299" spans="1:10">
      <c r="A299" s="60">
        <v>2</v>
      </c>
      <c r="B299" s="60"/>
      <c r="C299" s="60"/>
      <c r="D299" s="4">
        <v>2</v>
      </c>
      <c r="E299" s="1">
        <f t="shared" ref="E299:E306" si="9">B26</f>
        <v>1.1399999999999999</v>
      </c>
      <c r="F299" s="54">
        <v>0.8</v>
      </c>
      <c r="G299" s="55"/>
      <c r="H299" s="51">
        <f t="array" ref="H299">E299*F299/60</f>
        <v>1.5199999999999998E-2</v>
      </c>
      <c r="I299" s="52"/>
    </row>
    <row r="300" spans="1:10">
      <c r="A300" s="60">
        <v>3</v>
      </c>
      <c r="B300" s="60"/>
      <c r="C300" s="60"/>
      <c r="D300" s="4">
        <v>2</v>
      </c>
      <c r="E300" s="1">
        <f t="shared" si="9"/>
        <v>1.1000000000000001</v>
      </c>
      <c r="F300" s="54">
        <v>0.8</v>
      </c>
      <c r="G300" s="55"/>
      <c r="H300" s="51">
        <f t="array" ref="H300">E300*F300/60</f>
        <v>1.4666666666666668E-2</v>
      </c>
      <c r="I300" s="52"/>
    </row>
    <row r="301" spans="1:10">
      <c r="A301" s="60">
        <v>4</v>
      </c>
      <c r="B301" s="60"/>
      <c r="C301" s="60"/>
      <c r="D301" s="4">
        <v>2</v>
      </c>
      <c r="E301" s="1">
        <f t="shared" si="9"/>
        <v>3.4</v>
      </c>
      <c r="F301" s="54">
        <v>0.8</v>
      </c>
      <c r="G301" s="55"/>
      <c r="H301" s="51">
        <f t="array" ref="H301">E301*F301/60</f>
        <v>4.5333333333333337E-2</v>
      </c>
      <c r="I301" s="52"/>
    </row>
    <row r="302" spans="1:10">
      <c r="A302" s="60">
        <v>5</v>
      </c>
      <c r="B302" s="60"/>
      <c r="C302" s="60"/>
      <c r="D302" s="4">
        <v>2</v>
      </c>
      <c r="E302" s="1">
        <f t="shared" si="9"/>
        <v>1.18</v>
      </c>
      <c r="F302" s="54">
        <v>0.8</v>
      </c>
      <c r="G302" s="55"/>
      <c r="H302" s="51">
        <f t="array" ref="H302">E302*F302/60</f>
        <v>1.5733333333333332E-2</v>
      </c>
      <c r="I302" s="52"/>
    </row>
    <row r="303" spans="1:10">
      <c r="A303" s="60">
        <v>6</v>
      </c>
      <c r="B303" s="60"/>
      <c r="C303" s="60"/>
      <c r="D303" s="4">
        <v>2</v>
      </c>
      <c r="E303" s="1">
        <f t="shared" si="9"/>
        <v>1.1599999999999999</v>
      </c>
      <c r="F303" s="54">
        <v>0.8</v>
      </c>
      <c r="G303" s="55"/>
      <c r="H303" s="51">
        <f t="array" ref="H303">E303*F303/60</f>
        <v>1.5466666666666665E-2</v>
      </c>
      <c r="I303" s="52"/>
    </row>
    <row r="304" spans="1:10">
      <c r="A304" s="60">
        <v>7</v>
      </c>
      <c r="B304" s="60"/>
      <c r="C304" s="60"/>
      <c r="D304" s="4">
        <v>2</v>
      </c>
      <c r="E304" s="1">
        <f t="shared" si="9"/>
        <v>2.2799999999999998</v>
      </c>
      <c r="F304" s="54">
        <v>0.8</v>
      </c>
      <c r="G304" s="55"/>
      <c r="H304" s="51">
        <f t="array" ref="H304">E304*F304/60</f>
        <v>3.0399999999999996E-2</v>
      </c>
      <c r="I304" s="52"/>
    </row>
    <row r="305" spans="1:10">
      <c r="A305" s="60">
        <v>8</v>
      </c>
      <c r="B305" s="60"/>
      <c r="C305" s="60"/>
      <c r="D305" s="4">
        <v>2</v>
      </c>
      <c r="E305" s="1">
        <f t="shared" si="9"/>
        <v>2.2799999999999998</v>
      </c>
      <c r="F305" s="54">
        <v>0.8</v>
      </c>
      <c r="G305" s="55"/>
      <c r="H305" s="51">
        <f t="array" ref="H305">E305*F305/60</f>
        <v>3.0399999999999996E-2</v>
      </c>
      <c r="I305" s="52"/>
    </row>
    <row r="306" spans="1:10">
      <c r="A306" s="67">
        <v>9</v>
      </c>
      <c r="B306" s="68"/>
      <c r="C306" s="69"/>
      <c r="D306" s="4">
        <v>2</v>
      </c>
      <c r="E306" s="1">
        <f t="shared" si="9"/>
        <v>1.1399999999999999</v>
      </c>
      <c r="F306" s="54">
        <v>0.8</v>
      </c>
      <c r="G306" s="55"/>
      <c r="H306" s="51">
        <f t="array" ref="H306">E306*F306/60</f>
        <v>1.5199999999999998E-2</v>
      </c>
      <c r="I306" s="52"/>
    </row>
    <row r="307" spans="1:10">
      <c r="A307" s="94" t="s">
        <v>243</v>
      </c>
      <c r="B307" s="94"/>
      <c r="C307" s="94"/>
      <c r="D307" s="24"/>
      <c r="E307" s="24"/>
      <c r="F307" s="39"/>
      <c r="G307" s="40"/>
      <c r="H307" s="114">
        <f>SUM(H298:H306)</f>
        <v>0.21279999999999999</v>
      </c>
      <c r="I307" s="115"/>
    </row>
    <row r="308" spans="1:10">
      <c r="A308" s="58" t="s">
        <v>453</v>
      </c>
      <c r="B308" s="58"/>
      <c r="C308" s="58"/>
      <c r="D308" s="4"/>
      <c r="E308" s="4"/>
      <c r="F308" s="41"/>
      <c r="G308" s="42"/>
      <c r="H308" s="51">
        <f>0.4*H307</f>
        <v>8.5120000000000001E-2</v>
      </c>
      <c r="I308" s="52"/>
    </row>
    <row r="309" spans="1:10">
      <c r="A309" s="94" t="s">
        <v>244</v>
      </c>
      <c r="B309" s="94"/>
      <c r="C309" s="94"/>
      <c r="D309" s="4"/>
      <c r="E309" s="4"/>
      <c r="F309" s="41"/>
      <c r="G309" s="42"/>
      <c r="H309" s="114">
        <f t="array" ref="H309">SUM(H307:H308)</f>
        <v>0.29791999999999996</v>
      </c>
      <c r="I309" s="115"/>
    </row>
    <row r="313" spans="1:10">
      <c r="B313" s="65" t="s">
        <v>245</v>
      </c>
      <c r="C313" s="65"/>
      <c r="D313" s="65"/>
      <c r="E313" s="65"/>
      <c r="F313" s="65"/>
      <c r="G313" s="65"/>
      <c r="H313" s="65"/>
      <c r="I313" s="65"/>
      <c r="J313" s="65"/>
    </row>
    <row r="315" spans="1:10">
      <c r="C315" s="2" t="s">
        <v>199</v>
      </c>
      <c r="D315" s="15">
        <f>H309*G315</f>
        <v>0.119168</v>
      </c>
      <c r="F315" s="2" t="s">
        <v>246</v>
      </c>
      <c r="G315" s="2">
        <v>0.4</v>
      </c>
    </row>
    <row r="318" spans="1:10">
      <c r="B318" s="65" t="s">
        <v>247</v>
      </c>
      <c r="C318" s="65"/>
      <c r="D318" s="65"/>
      <c r="E318" s="65"/>
      <c r="F318" s="65"/>
      <c r="G318" s="65"/>
      <c r="H318" s="65"/>
      <c r="I318" s="65"/>
      <c r="J318" s="65"/>
    </row>
    <row r="320" spans="1:10">
      <c r="B320" s="2" t="s">
        <v>252</v>
      </c>
    </row>
    <row r="322" spans="3:16">
      <c r="C322" s="2" t="s">
        <v>250</v>
      </c>
      <c r="D322" s="15">
        <f>(H309+D315)*H322</f>
        <v>1.0427199999999999</v>
      </c>
      <c r="G322" s="2" t="s">
        <v>251</v>
      </c>
      <c r="H322" s="2">
        <v>2.5</v>
      </c>
      <c r="K322" s="4" t="s">
        <v>364</v>
      </c>
      <c r="L322" s="4" t="s">
        <v>254</v>
      </c>
      <c r="M322" s="4" t="s">
        <v>60</v>
      </c>
      <c r="N322" s="4" t="s">
        <v>255</v>
      </c>
      <c r="O322" s="4"/>
      <c r="P322" s="4" t="s">
        <v>256</v>
      </c>
    </row>
    <row r="323" spans="3:16">
      <c r="K323" s="4" t="s">
        <v>365</v>
      </c>
      <c r="L323" s="4">
        <v>2</v>
      </c>
      <c r="M323" s="4">
        <f>G205</f>
        <v>2</v>
      </c>
      <c r="N323" s="4">
        <v>0.754</v>
      </c>
      <c r="O323" s="4"/>
      <c r="P323" s="4">
        <f t="array" ref="P323">M323*N323</f>
        <v>1.508</v>
      </c>
    </row>
    <row r="324" spans="3:16">
      <c r="K324" s="4" t="s">
        <v>366</v>
      </c>
      <c r="L324" s="4">
        <v>3</v>
      </c>
      <c r="M324" s="4">
        <f>F197</f>
        <v>2</v>
      </c>
      <c r="N324" s="4">
        <v>0.83399999999999996</v>
      </c>
      <c r="O324" s="4"/>
      <c r="P324" s="4">
        <f t="array" ref="P324">M324*N324</f>
        <v>1.6679999999999999</v>
      </c>
    </row>
    <row r="325" spans="3:16">
      <c r="K325" s="4" t="s">
        <v>367</v>
      </c>
      <c r="L325" s="4">
        <v>5</v>
      </c>
      <c r="M325" s="4">
        <f>G204</f>
        <v>2</v>
      </c>
      <c r="N325" s="4">
        <v>1.127</v>
      </c>
      <c r="O325" s="4"/>
      <c r="P325" s="4">
        <f t="array" ref="P325">M325*N325</f>
        <v>2.254</v>
      </c>
    </row>
    <row r="326" spans="3:16">
      <c r="D326" s="45"/>
      <c r="K326" s="4"/>
      <c r="L326" s="4"/>
      <c r="M326" s="4"/>
      <c r="N326" s="4"/>
      <c r="O326" s="4"/>
      <c r="P326" s="4">
        <f t="array" ref="P326">SUM(P323:P325)</f>
        <v>5.43</v>
      </c>
    </row>
    <row r="336" spans="3:16">
      <c r="D336" s="45"/>
    </row>
    <row r="340" spans="2:10">
      <c r="D340" s="15"/>
    </row>
    <row r="344" spans="2:10">
      <c r="D344" s="15"/>
    </row>
    <row r="347" spans="2:10">
      <c r="B347" s="65" t="s">
        <v>257</v>
      </c>
      <c r="C347" s="65"/>
      <c r="D347" s="65"/>
      <c r="E347" s="65"/>
      <c r="F347" s="65"/>
      <c r="G347" s="65"/>
      <c r="H347" s="65"/>
      <c r="I347" s="65"/>
      <c r="J347" s="65"/>
    </row>
    <row r="349" spans="2:10">
      <c r="B349" s="2" t="s">
        <v>258</v>
      </c>
      <c r="C349" s="45">
        <f>SUM(F227:F229)*G349/100</f>
        <v>2596.63348</v>
      </c>
      <c r="F349" s="2" t="s">
        <v>259</v>
      </c>
      <c r="G349" s="2">
        <v>35</v>
      </c>
      <c r="H349" s="2" t="s">
        <v>260</v>
      </c>
    </row>
    <row r="352" spans="2:10">
      <c r="B352" s="65" t="s">
        <v>455</v>
      </c>
      <c r="C352" s="65"/>
      <c r="D352" s="65"/>
      <c r="E352" s="65"/>
      <c r="F352" s="65"/>
      <c r="G352" s="65"/>
      <c r="H352" s="65"/>
      <c r="I352" s="65"/>
      <c r="J352" s="65"/>
    </row>
    <row r="354" spans="2:10">
      <c r="B354" s="2" t="s">
        <v>454</v>
      </c>
      <c r="C354" s="45">
        <f>SUM(F227:F229)*G354/100</f>
        <v>370.94764000000004</v>
      </c>
      <c r="F354" s="2" t="s">
        <v>261</v>
      </c>
      <c r="G354" s="2">
        <v>5</v>
      </c>
      <c r="H354" s="2" t="s">
        <v>260</v>
      </c>
    </row>
    <row r="357" spans="2:10">
      <c r="B357" s="65" t="s">
        <v>262</v>
      </c>
      <c r="C357" s="65"/>
      <c r="D357" s="65"/>
      <c r="E357" s="65"/>
      <c r="F357" s="65"/>
      <c r="G357" s="65"/>
      <c r="H357" s="65"/>
      <c r="I357" s="65"/>
      <c r="J357" s="65"/>
    </row>
    <row r="359" spans="2:10">
      <c r="B359" s="2" t="s">
        <v>203</v>
      </c>
      <c r="C359" s="45">
        <f>F132*G359*G360*K2*G361*G362*G363*G364/(G365)</f>
        <v>309.09488589310723</v>
      </c>
      <c r="F359" s="2" t="s">
        <v>9</v>
      </c>
      <c r="G359" s="2">
        <f>K3*K1*M3</f>
        <v>168.95999999999998</v>
      </c>
      <c r="H359" s="2" t="s">
        <v>153</v>
      </c>
    </row>
    <row r="360" spans="2:10">
      <c r="F360" s="2" t="s">
        <v>263</v>
      </c>
      <c r="G360" s="2">
        <v>3.5000000000000003E-2</v>
      </c>
      <c r="H360" s="2" t="s">
        <v>62</v>
      </c>
    </row>
    <row r="361" spans="2:10">
      <c r="F361" s="2" t="s">
        <v>264</v>
      </c>
      <c r="G361" s="2">
        <v>0.6</v>
      </c>
      <c r="I361" s="2" t="s">
        <v>476</v>
      </c>
    </row>
    <row r="362" spans="2:10">
      <c r="F362" s="2" t="s">
        <v>265</v>
      </c>
      <c r="G362" s="2">
        <v>0.4</v>
      </c>
      <c r="I362" s="2" t="s">
        <v>475</v>
      </c>
    </row>
    <row r="363" spans="2:10">
      <c r="F363" s="2" t="s">
        <v>266</v>
      </c>
      <c r="G363" s="46">
        <f>AVERAGE(H25:H33)</f>
        <v>1.001284729529087</v>
      </c>
    </row>
    <row r="364" spans="2:10">
      <c r="F364" s="2" t="s">
        <v>267</v>
      </c>
      <c r="G364" s="2">
        <v>1.1499999999999999</v>
      </c>
    </row>
    <row r="365" spans="2:10">
      <c r="F365" s="2" t="s">
        <v>268</v>
      </c>
      <c r="G365" s="2">
        <v>0.75</v>
      </c>
    </row>
    <row r="368" spans="2:10">
      <c r="B368" s="65" t="s">
        <v>269</v>
      </c>
      <c r="C368" s="65"/>
      <c r="D368" s="65"/>
      <c r="E368" s="65"/>
      <c r="F368" s="65"/>
      <c r="G368" s="65"/>
      <c r="H368" s="65"/>
      <c r="I368" s="65"/>
      <c r="J368" s="65"/>
    </row>
    <row r="370" spans="2:12">
      <c r="B370" s="2" t="s">
        <v>271</v>
      </c>
      <c r="C370" s="45">
        <f>F227*G370/100</f>
        <v>529.85071999999991</v>
      </c>
      <c r="F370" s="2" t="s">
        <v>270</v>
      </c>
      <c r="G370" s="2">
        <v>10</v>
      </c>
      <c r="H370" s="2" t="s">
        <v>260</v>
      </c>
    </row>
    <row r="373" spans="2:12">
      <c r="B373" s="65" t="s">
        <v>272</v>
      </c>
      <c r="C373" s="65"/>
      <c r="D373" s="65"/>
      <c r="E373" s="65"/>
      <c r="F373" s="65"/>
      <c r="G373" s="65"/>
      <c r="H373" s="65"/>
      <c r="I373" s="65"/>
      <c r="J373" s="65"/>
    </row>
    <row r="375" spans="2:12">
      <c r="B375" s="2" t="s">
        <v>274</v>
      </c>
      <c r="C375" s="45">
        <f t="array" ref="C375">F227*G375/100</f>
        <v>529.85071999999991</v>
      </c>
      <c r="F375" s="2" t="s">
        <v>273</v>
      </c>
      <c r="G375" s="2">
        <v>10</v>
      </c>
      <c r="H375" s="2" t="s">
        <v>260</v>
      </c>
      <c r="I375" s="47" t="s">
        <v>477</v>
      </c>
    </row>
    <row r="378" spans="2:12">
      <c r="B378" s="65" t="s">
        <v>457</v>
      </c>
      <c r="C378" s="65"/>
      <c r="D378" s="65"/>
      <c r="E378" s="65"/>
      <c r="F378" s="65"/>
      <c r="G378" s="65"/>
      <c r="H378" s="65"/>
      <c r="I378" s="65"/>
      <c r="J378" s="65"/>
    </row>
    <row r="379" spans="2:12">
      <c r="L379" s="2" t="s">
        <v>458</v>
      </c>
    </row>
    <row r="380" spans="2:12">
      <c r="B380" s="2" t="s">
        <v>206</v>
      </c>
      <c r="C380" s="45">
        <f>H166/(12)</f>
        <v>171.62617896204165</v>
      </c>
    </row>
    <row r="382" spans="2:12">
      <c r="B382" s="65" t="s">
        <v>275</v>
      </c>
      <c r="C382" s="65"/>
      <c r="D382" s="65"/>
      <c r="E382" s="65"/>
      <c r="F382" s="65"/>
      <c r="G382" s="65"/>
      <c r="H382" s="65"/>
      <c r="I382" s="65"/>
      <c r="J382" s="65"/>
    </row>
    <row r="384" spans="2:12">
      <c r="B384" s="2" t="s">
        <v>207</v>
      </c>
      <c r="C384" s="45">
        <f>F227*G384/100</f>
        <v>5298.5071999999982</v>
      </c>
      <c r="F384" s="2" t="s">
        <v>276</v>
      </c>
      <c r="G384" s="2">
        <v>100</v>
      </c>
      <c r="H384" s="2" t="s">
        <v>260</v>
      </c>
      <c r="I384" s="2" t="s">
        <v>474</v>
      </c>
    </row>
    <row r="387" spans="2:10">
      <c r="B387" s="65" t="s">
        <v>277</v>
      </c>
      <c r="C387" s="65"/>
      <c r="D387" s="65"/>
      <c r="E387" s="65"/>
      <c r="F387" s="65"/>
      <c r="G387" s="65"/>
      <c r="H387" s="65"/>
      <c r="I387" s="65"/>
      <c r="J387" s="65"/>
    </row>
    <row r="389" spans="2:10">
      <c r="B389" s="2" t="s">
        <v>208</v>
      </c>
      <c r="C389" s="45">
        <f>F227*G389/100</f>
        <v>3179.1043199999999</v>
      </c>
      <c r="F389" s="2" t="s">
        <v>278</v>
      </c>
      <c r="G389" s="2">
        <v>60</v>
      </c>
      <c r="H389" s="2" t="s">
        <v>260</v>
      </c>
      <c r="I389" s="2" t="s">
        <v>473</v>
      </c>
    </row>
    <row r="392" spans="2:10">
      <c r="B392" s="65" t="s">
        <v>368</v>
      </c>
      <c r="C392" s="65"/>
      <c r="D392" s="65"/>
      <c r="E392" s="65"/>
      <c r="F392" s="65"/>
      <c r="G392" s="65"/>
      <c r="H392" s="65"/>
      <c r="I392" s="65"/>
      <c r="J392" s="65"/>
    </row>
    <row r="394" spans="2:10">
      <c r="B394" s="2" t="s">
        <v>284</v>
      </c>
      <c r="C394" s="45">
        <f>SUM(F225:F237)*G394/100</f>
        <v>9844.2004315173399</v>
      </c>
      <c r="D394" s="45">
        <f>SUM(F225:F237)</f>
        <v>1968840.0863034679</v>
      </c>
      <c r="F394" s="2" t="s">
        <v>283</v>
      </c>
      <c r="G394" s="2">
        <v>0.5</v>
      </c>
      <c r="I394" s="2" t="s">
        <v>472</v>
      </c>
    </row>
    <row r="396" spans="2:10">
      <c r="B396" s="65" t="s">
        <v>285</v>
      </c>
      <c r="C396" s="65"/>
      <c r="D396" s="65"/>
      <c r="E396" s="65"/>
      <c r="F396" s="65"/>
      <c r="G396" s="65"/>
      <c r="H396" s="65"/>
      <c r="I396" s="65"/>
      <c r="J396" s="65"/>
    </row>
    <row r="398" spans="2:10">
      <c r="B398" s="2" t="s">
        <v>211</v>
      </c>
      <c r="C398" s="45">
        <f>F239*G398/100</f>
        <v>19786.842867349853</v>
      </c>
      <c r="F398" s="2" t="s">
        <v>286</v>
      </c>
      <c r="G398" s="2">
        <v>1</v>
      </c>
      <c r="H398" s="2" t="s">
        <v>260</v>
      </c>
      <c r="I398" s="47" t="s">
        <v>471</v>
      </c>
    </row>
    <row r="400" spans="2:10">
      <c r="B400" s="65" t="s">
        <v>288</v>
      </c>
      <c r="C400" s="65"/>
      <c r="D400" s="65"/>
      <c r="E400" s="65"/>
      <c r="F400" s="65"/>
      <c r="G400" s="65"/>
      <c r="H400" s="65"/>
      <c r="I400" s="65"/>
      <c r="J400" s="65"/>
    </row>
    <row r="402" spans="2:10">
      <c r="B402" s="2" t="s">
        <v>213</v>
      </c>
      <c r="C402" s="45">
        <f>F241*G402/100</f>
        <v>599541.33888070052</v>
      </c>
      <c r="F402" s="2" t="s">
        <v>287</v>
      </c>
      <c r="G402" s="2">
        <v>30</v>
      </c>
      <c r="H402" s="2" t="s">
        <v>260</v>
      </c>
      <c r="I402" s="2" t="s">
        <v>470</v>
      </c>
    </row>
    <row r="404" spans="2:10">
      <c r="B404" s="65" t="s">
        <v>430</v>
      </c>
      <c r="C404" s="65"/>
      <c r="D404" s="65"/>
      <c r="E404" s="65"/>
      <c r="F404" s="65"/>
      <c r="G404" s="65"/>
      <c r="H404" s="65"/>
      <c r="I404" s="65"/>
      <c r="J404" s="65"/>
    </row>
    <row r="406" spans="2:10">
      <c r="B406" s="2" t="s">
        <v>431</v>
      </c>
      <c r="C406" s="45">
        <f>(C414*G406)/(100-G406)</f>
        <v>66615.704320077828</v>
      </c>
      <c r="F406" s="2" t="s">
        <v>432</v>
      </c>
      <c r="G406" s="2">
        <v>2.5</v>
      </c>
      <c r="H406" s="2" t="s">
        <v>260</v>
      </c>
    </row>
    <row r="408" spans="2:10">
      <c r="B408" s="65" t="s">
        <v>433</v>
      </c>
      <c r="C408" s="65"/>
      <c r="D408" s="65"/>
      <c r="E408" s="65"/>
      <c r="F408" s="65"/>
      <c r="G408" s="65"/>
      <c r="H408" s="65"/>
      <c r="I408" s="65"/>
      <c r="J408" s="65"/>
    </row>
    <row r="410" spans="2:10">
      <c r="B410" s="2" t="s">
        <v>428</v>
      </c>
      <c r="C410" s="45">
        <f>((C414+C406)*G410)/(100-G410)</f>
        <v>54380.166791900272</v>
      </c>
      <c r="F410" s="2" t="s">
        <v>434</v>
      </c>
      <c r="G410" s="2">
        <v>2</v>
      </c>
      <c r="H410" s="2" t="s">
        <v>260</v>
      </c>
    </row>
    <row r="412" spans="2:10" s="21" customFormat="1">
      <c r="B412" s="95" t="s">
        <v>289</v>
      </c>
      <c r="C412" s="95"/>
      <c r="D412" s="95"/>
      <c r="E412" s="95"/>
      <c r="F412" s="95"/>
      <c r="G412" s="95"/>
      <c r="H412" s="95"/>
      <c r="I412" s="95"/>
      <c r="J412" s="95"/>
    </row>
    <row r="414" spans="2:10">
      <c r="B414" s="2" t="s">
        <v>214</v>
      </c>
      <c r="C414" s="45">
        <f>F241+C402</f>
        <v>2598012.4684830355</v>
      </c>
    </row>
    <row r="417" spans="1:10">
      <c r="B417" s="96" t="s">
        <v>459</v>
      </c>
      <c r="C417" s="96"/>
      <c r="D417" s="96"/>
      <c r="E417" s="96"/>
      <c r="F417" s="96"/>
      <c r="G417" s="96"/>
      <c r="H417" s="96"/>
      <c r="I417" s="96"/>
      <c r="J417" s="96"/>
    </row>
    <row r="419" spans="1:10">
      <c r="B419" s="2" t="s">
        <v>460</v>
      </c>
      <c r="C419" s="45">
        <f>F243+C406+C410</f>
        <v>2719008.3395950133</v>
      </c>
    </row>
    <row r="421" spans="1:10">
      <c r="B421" s="65" t="s">
        <v>291</v>
      </c>
      <c r="C421" s="65"/>
      <c r="D421" s="65"/>
      <c r="E421" s="65"/>
      <c r="F421" s="65"/>
      <c r="G421" s="65"/>
      <c r="H421" s="65"/>
      <c r="I421" s="65"/>
      <c r="J421" s="65"/>
    </row>
    <row r="423" spans="1:10">
      <c r="B423" s="2" t="s">
        <v>215</v>
      </c>
      <c r="C423" s="45">
        <f>C419*G423/100</f>
        <v>543801.66791900259</v>
      </c>
      <c r="F423" s="2" t="s">
        <v>290</v>
      </c>
      <c r="G423" s="2">
        <v>20</v>
      </c>
      <c r="H423" s="2" t="s">
        <v>260</v>
      </c>
    </row>
    <row r="426" spans="1:10">
      <c r="B426" s="65" t="s">
        <v>468</v>
      </c>
      <c r="C426" s="65"/>
      <c r="D426" s="65"/>
      <c r="E426" s="65"/>
      <c r="F426" s="65"/>
      <c r="G426" s="65"/>
      <c r="H426" s="65"/>
      <c r="I426" s="65"/>
      <c r="J426" s="65"/>
    </row>
    <row r="427" spans="1:10">
      <c r="B427" s="3"/>
      <c r="C427" s="3"/>
      <c r="D427" s="3"/>
      <c r="E427" s="3"/>
      <c r="F427" s="3"/>
      <c r="G427" s="3"/>
      <c r="H427" s="3"/>
      <c r="I427" s="3"/>
      <c r="J427" s="3"/>
    </row>
    <row r="428" spans="1:10">
      <c r="B428" s="2" t="s">
        <v>216</v>
      </c>
      <c r="C428" s="45">
        <f>C419+C423</f>
        <v>3262810.0075140158</v>
      </c>
    </row>
    <row r="430" spans="1:10">
      <c r="A430" s="65" t="s">
        <v>292</v>
      </c>
      <c r="B430" s="65"/>
      <c r="C430" s="65"/>
      <c r="D430" s="65"/>
      <c r="E430" s="65"/>
      <c r="F430" s="65"/>
      <c r="G430" s="65"/>
      <c r="H430" s="65"/>
      <c r="I430" s="65"/>
    </row>
    <row r="432" spans="1:10">
      <c r="B432" s="79" t="s">
        <v>424</v>
      </c>
      <c r="C432" s="65"/>
      <c r="D432" s="65"/>
      <c r="E432" s="65"/>
      <c r="F432" s="65"/>
      <c r="G432" s="65"/>
      <c r="H432" s="65"/>
      <c r="I432" s="65"/>
      <c r="J432" s="65"/>
    </row>
    <row r="433" spans="2:10">
      <c r="B433" s="48"/>
      <c r="C433" s="48"/>
      <c r="D433" s="48"/>
      <c r="E433" s="48"/>
    </row>
    <row r="434" spans="2:10">
      <c r="D434" s="2" t="s">
        <v>323</v>
      </c>
      <c r="E434" s="45">
        <f>0.5*E166</f>
        <v>14715.208775675001</v>
      </c>
    </row>
    <row r="436" spans="2:10">
      <c r="B436" s="65" t="s">
        <v>293</v>
      </c>
      <c r="C436" s="65"/>
      <c r="D436" s="65"/>
      <c r="E436" s="65"/>
      <c r="F436" s="65"/>
      <c r="G436" s="65"/>
      <c r="H436" s="65"/>
      <c r="I436" s="65"/>
      <c r="J436" s="65"/>
    </row>
    <row r="438" spans="2:10">
      <c r="C438" s="2" t="s">
        <v>212</v>
      </c>
      <c r="D438" s="45">
        <f>H241*M2</f>
        <v>1998471.1296023352</v>
      </c>
      <c r="J438" s="2" t="s">
        <v>425</v>
      </c>
    </row>
    <row r="440" spans="2:10">
      <c r="B440" s="65" t="s">
        <v>294</v>
      </c>
      <c r="C440" s="65"/>
      <c r="D440" s="65"/>
      <c r="E440" s="65"/>
      <c r="F440" s="65"/>
      <c r="G440" s="65"/>
      <c r="H440" s="65"/>
      <c r="I440" s="65"/>
      <c r="J440" s="65"/>
    </row>
    <row r="442" spans="2:10">
      <c r="C442" s="2" t="s">
        <v>295</v>
      </c>
      <c r="D442" s="45">
        <f>H248*M2</f>
        <v>3262810.0075140158</v>
      </c>
    </row>
    <row r="444" spans="2:10">
      <c r="B444" s="65" t="s">
        <v>296</v>
      </c>
      <c r="C444" s="65"/>
      <c r="D444" s="65"/>
      <c r="E444" s="65"/>
      <c r="F444" s="65"/>
      <c r="G444" s="65"/>
      <c r="H444" s="65"/>
      <c r="I444" s="65"/>
      <c r="J444" s="65"/>
    </row>
    <row r="446" spans="2:10">
      <c r="C446" s="2" t="s">
        <v>297</v>
      </c>
      <c r="D446" s="45">
        <f t="array" ref="D446">D438/D442</f>
        <v>0.61250000000000016</v>
      </c>
    </row>
    <row r="448" spans="2:10">
      <c r="B448" s="65" t="s">
        <v>298</v>
      </c>
      <c r="C448" s="65"/>
      <c r="D448" s="65"/>
      <c r="E448" s="65"/>
      <c r="F448" s="65"/>
      <c r="G448" s="65"/>
      <c r="H448" s="65"/>
      <c r="I448" s="65"/>
      <c r="J448" s="65"/>
    </row>
    <row r="450" spans="2:10">
      <c r="C450" s="2" t="s">
        <v>299</v>
      </c>
      <c r="D450" s="45">
        <f>D442-D438-C423-I450-I451</f>
        <v>599541.33888069994</v>
      </c>
      <c r="E450" s="2" t="s">
        <v>426</v>
      </c>
      <c r="H450" s="2" t="s">
        <v>428</v>
      </c>
      <c r="I450" s="45">
        <f>C410</f>
        <v>54380.166791900272</v>
      </c>
    </row>
    <row r="451" spans="2:10">
      <c r="H451" s="2" t="s">
        <v>429</v>
      </c>
      <c r="I451" s="45">
        <f>C406</f>
        <v>66615.704320077828</v>
      </c>
    </row>
    <row r="452" spans="2:10">
      <c r="C452" s="2" t="s">
        <v>300</v>
      </c>
    </row>
    <row r="454" spans="2:10">
      <c r="C454" s="2" t="s">
        <v>301</v>
      </c>
      <c r="D454" s="45">
        <f t="array" ref="D454">0.15*D450</f>
        <v>89931.200832104994</v>
      </c>
    </row>
    <row r="456" spans="2:10">
      <c r="C456" s="2" t="s">
        <v>302</v>
      </c>
    </row>
    <row r="458" spans="2:10">
      <c r="C458" s="2" t="s">
        <v>303</v>
      </c>
      <c r="D458" s="45">
        <f>D450+D454</f>
        <v>689472.53971280495</v>
      </c>
    </row>
    <row r="461" spans="2:10">
      <c r="B461" s="65" t="s">
        <v>469</v>
      </c>
      <c r="C461" s="65"/>
      <c r="D461" s="65"/>
      <c r="E461" s="65"/>
      <c r="F461" s="65"/>
      <c r="G461" s="65"/>
      <c r="H461" s="65"/>
      <c r="I461" s="65"/>
      <c r="J461" s="65"/>
    </row>
    <row r="463" spans="2:10">
      <c r="C463" s="2" t="s">
        <v>306</v>
      </c>
      <c r="D463" s="45">
        <f>D458</f>
        <v>689472.53971280495</v>
      </c>
      <c r="G463" s="2" t="s">
        <v>304</v>
      </c>
      <c r="H463" s="2">
        <v>0</v>
      </c>
    </row>
    <row r="464" spans="2:10">
      <c r="G464" s="2" t="s">
        <v>305</v>
      </c>
      <c r="H464" s="2">
        <v>0</v>
      </c>
    </row>
    <row r="466" spans="2:10">
      <c r="B466" s="65" t="s">
        <v>307</v>
      </c>
      <c r="C466" s="65"/>
      <c r="D466" s="65"/>
      <c r="E466" s="65"/>
      <c r="F466" s="65"/>
      <c r="G466" s="65"/>
      <c r="H466" s="65"/>
      <c r="I466" s="65"/>
      <c r="J466" s="65"/>
    </row>
    <row r="468" spans="2:10">
      <c r="C468" s="2" t="s">
        <v>308</v>
      </c>
      <c r="D468" s="45">
        <f>E166-H166</f>
        <v>27370.903403805503</v>
      </c>
    </row>
    <row r="470" spans="2:10">
      <c r="C470" s="2" t="s">
        <v>310</v>
      </c>
      <c r="D470" s="45">
        <f>(D468*H470)/(12*100)</f>
        <v>22.809086169837919</v>
      </c>
      <c r="G470" s="2" t="s">
        <v>309</v>
      </c>
      <c r="H470" s="2">
        <v>1</v>
      </c>
      <c r="I470" s="2" t="s">
        <v>260</v>
      </c>
    </row>
    <row r="472" spans="2:10">
      <c r="B472" s="65" t="s">
        <v>369</v>
      </c>
      <c r="C472" s="65"/>
      <c r="D472" s="65"/>
      <c r="E472" s="65"/>
      <c r="F472" s="65"/>
      <c r="G472" s="65"/>
      <c r="H472" s="65"/>
      <c r="I472" s="65"/>
      <c r="J472" s="65"/>
    </row>
    <row r="473" spans="2:10">
      <c r="B473" s="3"/>
      <c r="C473" s="3"/>
      <c r="D473" s="3"/>
      <c r="E473" s="3"/>
      <c r="F473" s="3"/>
      <c r="G473" s="3"/>
      <c r="H473" s="3"/>
      <c r="I473" s="3"/>
      <c r="J473" s="3"/>
    </row>
    <row r="474" spans="2:10">
      <c r="C474" s="2" t="s">
        <v>370</v>
      </c>
      <c r="D474" s="45">
        <f>E434*H470/(1200)</f>
        <v>12.262673979729167</v>
      </c>
    </row>
    <row r="476" spans="2:10">
      <c r="B476" s="65" t="s">
        <v>371</v>
      </c>
      <c r="C476" s="65"/>
      <c r="D476" s="65"/>
      <c r="E476" s="65"/>
      <c r="F476" s="65"/>
      <c r="G476" s="65"/>
      <c r="H476" s="65"/>
      <c r="I476" s="65"/>
      <c r="J476" s="65"/>
    </row>
    <row r="478" spans="2:10">
      <c r="C478" s="2" t="s">
        <v>372</v>
      </c>
      <c r="D478" s="45">
        <f>D474+D470</f>
        <v>35.071760149567083</v>
      </c>
    </row>
    <row r="480" spans="2:10">
      <c r="B480" s="65" t="s">
        <v>311</v>
      </c>
      <c r="C480" s="65"/>
      <c r="D480" s="65"/>
      <c r="E480" s="65"/>
      <c r="F480" s="65"/>
      <c r="G480" s="65"/>
      <c r="H480" s="65"/>
      <c r="I480" s="65"/>
      <c r="J480" s="65"/>
    </row>
    <row r="482" spans="2:10">
      <c r="C482" s="2" t="s">
        <v>313</v>
      </c>
      <c r="D482" s="45">
        <f>D463-D470-H482-H483</f>
        <v>689449.73062663514</v>
      </c>
      <c r="G482" s="2" t="s">
        <v>312</v>
      </c>
      <c r="H482" s="2">
        <v>0</v>
      </c>
    </row>
    <row r="483" spans="2:10">
      <c r="G483" s="2" t="s">
        <v>427</v>
      </c>
      <c r="H483" s="2">
        <v>0</v>
      </c>
    </row>
    <row r="486" spans="2:10">
      <c r="B486" s="65" t="s">
        <v>314</v>
      </c>
      <c r="C486" s="65"/>
      <c r="D486" s="65"/>
      <c r="E486" s="65"/>
      <c r="F486" s="65"/>
      <c r="G486" s="65"/>
      <c r="H486" s="65"/>
      <c r="I486" s="65"/>
      <c r="J486" s="65"/>
    </row>
    <row r="488" spans="2:10">
      <c r="C488" s="2" t="s">
        <v>209</v>
      </c>
      <c r="D488" s="45">
        <f>D482*H488/100</f>
        <v>165467.93535039242</v>
      </c>
      <c r="G488" s="2" t="s">
        <v>283</v>
      </c>
      <c r="H488" s="2">
        <v>24</v>
      </c>
      <c r="I488" s="2" t="s">
        <v>260</v>
      </c>
    </row>
    <row r="491" spans="2:10">
      <c r="B491" s="65" t="s">
        <v>315</v>
      </c>
      <c r="C491" s="65"/>
      <c r="D491" s="65"/>
      <c r="E491" s="65"/>
      <c r="F491" s="65"/>
      <c r="G491" s="65"/>
      <c r="H491" s="65"/>
      <c r="I491" s="65"/>
      <c r="J491" s="65"/>
    </row>
    <row r="493" spans="2:10">
      <c r="C493" s="2" t="s">
        <v>316</v>
      </c>
      <c r="D493" s="45">
        <f>(D463-D478-D488-H482-H483)*H493/100</f>
        <v>26198.476630113149</v>
      </c>
      <c r="G493" s="2" t="s">
        <v>317</v>
      </c>
      <c r="H493" s="2">
        <v>5</v>
      </c>
      <c r="I493" s="2" t="s">
        <v>260</v>
      </c>
    </row>
    <row r="496" spans="2:10">
      <c r="B496" s="65" t="s">
        <v>318</v>
      </c>
      <c r="C496" s="65"/>
      <c r="D496" s="65"/>
      <c r="E496" s="65"/>
      <c r="F496" s="65"/>
      <c r="G496" s="65"/>
      <c r="H496" s="65"/>
      <c r="I496" s="65"/>
      <c r="J496" s="65"/>
    </row>
    <row r="498" spans="2:10">
      <c r="C498" s="2" t="s">
        <v>319</v>
      </c>
      <c r="D498" s="45">
        <f>D463-D478-D488-D493</f>
        <v>497771.05597214983</v>
      </c>
    </row>
    <row r="500" spans="2:10">
      <c r="B500" s="65" t="s">
        <v>322</v>
      </c>
      <c r="C500" s="65"/>
      <c r="D500" s="65"/>
      <c r="E500" s="65"/>
      <c r="F500" s="65"/>
      <c r="G500" s="65"/>
      <c r="H500" s="65"/>
      <c r="I500" s="65"/>
      <c r="J500" s="65"/>
    </row>
    <row r="502" spans="2:10">
      <c r="C502" s="2" t="s">
        <v>320</v>
      </c>
      <c r="D502" s="2">
        <f>((F243-F241)/F241)*100</f>
        <v>30.000000000000004</v>
      </c>
    </row>
    <row r="504" spans="2:10">
      <c r="B504" s="65" t="s">
        <v>321</v>
      </c>
      <c r="C504" s="65"/>
      <c r="D504" s="65"/>
      <c r="E504" s="65"/>
      <c r="F504" s="65"/>
      <c r="G504" s="65"/>
      <c r="H504" s="65"/>
      <c r="I504" s="65"/>
      <c r="J504" s="65"/>
    </row>
    <row r="506" spans="2:10">
      <c r="C506" s="2" t="s">
        <v>324</v>
      </c>
      <c r="D506" s="45">
        <f>D498*100/(E166+E434)</f>
        <v>1127.5659615399431</v>
      </c>
    </row>
    <row r="509" spans="2:10">
      <c r="B509" s="65" t="s">
        <v>325</v>
      </c>
      <c r="C509" s="65"/>
      <c r="D509" s="65"/>
      <c r="E509" s="65"/>
      <c r="F509" s="65"/>
      <c r="G509" s="65"/>
      <c r="H509" s="65"/>
      <c r="I509" s="65"/>
      <c r="J509" s="65"/>
    </row>
    <row r="511" spans="2:10">
      <c r="C511" s="2" t="s">
        <v>326</v>
      </c>
      <c r="D511" s="45">
        <f>D442/E166</f>
        <v>110.86522988744845</v>
      </c>
    </row>
    <row r="514" spans="1:6">
      <c r="A514" s="58" t="s">
        <v>327</v>
      </c>
      <c r="B514" s="58"/>
      <c r="C514" s="58"/>
      <c r="D514" s="58"/>
      <c r="E514" s="30" t="s">
        <v>221</v>
      </c>
      <c r="F514" s="30" t="s">
        <v>328</v>
      </c>
    </row>
    <row r="515" spans="1:6">
      <c r="A515" s="53" t="s">
        <v>329</v>
      </c>
      <c r="B515" s="53"/>
      <c r="C515" s="53"/>
      <c r="D515" s="53"/>
      <c r="E515" s="4" t="s">
        <v>235</v>
      </c>
      <c r="F515" s="49">
        <f t="array" ref="F515">M2</f>
        <v>17785</v>
      </c>
    </row>
    <row r="516" spans="1:6">
      <c r="A516" s="53" t="s">
        <v>330</v>
      </c>
      <c r="B516" s="53"/>
      <c r="C516" s="53"/>
      <c r="D516" s="53"/>
      <c r="E516" s="4" t="s">
        <v>62</v>
      </c>
      <c r="F516" s="49">
        <f>D442</f>
        <v>3262810.0075140158</v>
      </c>
    </row>
    <row r="517" spans="1:6">
      <c r="A517" s="58" t="s">
        <v>331</v>
      </c>
      <c r="B517" s="58"/>
      <c r="C517" s="58"/>
      <c r="D517" s="58"/>
      <c r="E517" s="4" t="s">
        <v>62</v>
      </c>
      <c r="F517" s="49">
        <f t="array" ref="F517">F241</f>
        <v>1998471.1296023349</v>
      </c>
    </row>
    <row r="518" spans="1:6">
      <c r="A518" s="58" t="s">
        <v>332</v>
      </c>
      <c r="B518" s="58"/>
      <c r="C518" s="58"/>
      <c r="D518" s="58"/>
      <c r="E518" s="4" t="s">
        <v>62</v>
      </c>
      <c r="F518" s="50">
        <f t="array" ref="F518">D446</f>
        <v>0.61250000000000016</v>
      </c>
    </row>
    <row r="519" spans="1:6">
      <c r="A519" s="58" t="s">
        <v>333</v>
      </c>
      <c r="B519" s="58"/>
      <c r="C519" s="58"/>
      <c r="D519" s="58"/>
      <c r="E519" s="4" t="s">
        <v>350</v>
      </c>
      <c r="F519" s="49">
        <f t="array" ref="F519">H241</f>
        <v>112.36835139737617</v>
      </c>
    </row>
    <row r="520" spans="1:6">
      <c r="A520" s="58" t="s">
        <v>334</v>
      </c>
      <c r="B520" s="58"/>
      <c r="C520" s="58"/>
      <c r="D520" s="58"/>
      <c r="E520" s="4" t="s">
        <v>62</v>
      </c>
      <c r="F520" s="49">
        <f t="array" ref="F520">H243</f>
        <v>146.07885681658902</v>
      </c>
    </row>
    <row r="521" spans="1:6">
      <c r="A521" s="58" t="s">
        <v>335</v>
      </c>
      <c r="B521" s="58"/>
      <c r="C521" s="58"/>
      <c r="D521" s="58"/>
      <c r="E521" s="4" t="s">
        <v>62</v>
      </c>
      <c r="F521" s="49">
        <f t="array" ref="F521">H248</f>
        <v>183.45853289367534</v>
      </c>
    </row>
    <row r="522" spans="1:6">
      <c r="A522" s="58" t="s">
        <v>355</v>
      </c>
      <c r="B522" s="58"/>
      <c r="C522" s="58"/>
      <c r="D522" s="58"/>
      <c r="E522" s="4" t="s">
        <v>62</v>
      </c>
      <c r="F522" s="49">
        <f t="array" ref="F522">D458</f>
        <v>689472.53971280495</v>
      </c>
    </row>
    <row r="523" spans="1:6">
      <c r="A523" s="58" t="s">
        <v>336</v>
      </c>
      <c r="B523" s="58"/>
      <c r="C523" s="58"/>
      <c r="D523" s="58"/>
      <c r="E523" s="4" t="s">
        <v>62</v>
      </c>
      <c r="F523" s="49">
        <f t="array" ref="F523">D498</f>
        <v>497771.05597214983</v>
      </c>
    </row>
    <row r="524" spans="1:6">
      <c r="A524" s="58" t="s">
        <v>337</v>
      </c>
      <c r="B524" s="58"/>
      <c r="C524" s="58"/>
      <c r="D524" s="58"/>
      <c r="E524" s="4" t="s">
        <v>260</v>
      </c>
      <c r="F524" s="49">
        <f>D506</f>
        <v>1127.5659615399431</v>
      </c>
    </row>
    <row r="525" spans="1:6">
      <c r="A525" s="58" t="s">
        <v>338</v>
      </c>
      <c r="B525" s="58"/>
      <c r="C525" s="58"/>
      <c r="D525" s="58"/>
      <c r="E525" s="4" t="s">
        <v>260</v>
      </c>
      <c r="F525" s="50">
        <f t="array" ref="F525">D502</f>
        <v>30.000000000000004</v>
      </c>
    </row>
    <row r="526" spans="1:6">
      <c r="A526" s="58" t="s">
        <v>339</v>
      </c>
      <c r="B526" s="58"/>
      <c r="C526" s="58"/>
      <c r="D526" s="58"/>
      <c r="E526" s="4" t="s">
        <v>351</v>
      </c>
      <c r="F526" s="49">
        <f t="array" ref="F526">D511</f>
        <v>110.86522988744845</v>
      </c>
    </row>
    <row r="527" spans="1:6">
      <c r="A527" s="58" t="s">
        <v>484</v>
      </c>
      <c r="B527" s="58"/>
      <c r="C527" s="58"/>
      <c r="D527" s="58"/>
      <c r="E527" s="4" t="s">
        <v>352</v>
      </c>
      <c r="F527" s="50">
        <f t="array" ref="F527">E219</f>
        <v>31</v>
      </c>
    </row>
    <row r="528" spans="1:6">
      <c r="A528" s="58" t="s">
        <v>483</v>
      </c>
      <c r="B528" s="58"/>
      <c r="C528" s="58"/>
      <c r="D528" s="58"/>
      <c r="E528" s="4" t="s">
        <v>352</v>
      </c>
      <c r="F528" s="50">
        <f t="array" ref="F528">E213</f>
        <v>31</v>
      </c>
    </row>
    <row r="529" spans="1:6">
      <c r="A529" s="58" t="s">
        <v>353</v>
      </c>
      <c r="B529" s="58"/>
      <c r="C529" s="58"/>
      <c r="D529" s="58"/>
      <c r="E529" s="4" t="s">
        <v>354</v>
      </c>
      <c r="F529" s="49">
        <f t="array" ref="F529">F516/F528</f>
        <v>105251.93572625857</v>
      </c>
    </row>
    <row r="530" spans="1:6">
      <c r="A530" s="58" t="s">
        <v>340</v>
      </c>
      <c r="B530" s="58"/>
      <c r="C530" s="58"/>
      <c r="D530" s="58"/>
      <c r="E530" s="4" t="s">
        <v>354</v>
      </c>
      <c r="F530" s="49">
        <f t="array" ref="F530">F516/F527</f>
        <v>105251.93572625857</v>
      </c>
    </row>
    <row r="531" spans="1:6">
      <c r="A531" s="58" t="s">
        <v>341</v>
      </c>
      <c r="B531" s="58"/>
      <c r="C531" s="58"/>
      <c r="D531" s="58"/>
      <c r="E531" s="4" t="s">
        <v>62</v>
      </c>
      <c r="F531" s="49">
        <f t="array" ref="F531">F230</f>
        <v>2596.63348</v>
      </c>
    </row>
    <row r="532" spans="1:6">
      <c r="A532" s="58" t="s">
        <v>342</v>
      </c>
      <c r="B532" s="58"/>
      <c r="C532" s="58"/>
      <c r="D532" s="58"/>
      <c r="E532" s="4" t="s">
        <v>62</v>
      </c>
      <c r="F532" s="49">
        <f t="array" ref="F532">F231</f>
        <v>370.94764000000004</v>
      </c>
    </row>
    <row r="533" spans="1:6">
      <c r="A533" s="58" t="s">
        <v>343</v>
      </c>
      <c r="B533" s="58"/>
      <c r="C533" s="58"/>
      <c r="D533" s="58"/>
      <c r="E533" s="4" t="s">
        <v>62</v>
      </c>
      <c r="F533" s="49">
        <f t="array" ref="F533">C423</f>
        <v>543801.66791900259</v>
      </c>
    </row>
    <row r="534" spans="1:6">
      <c r="A534" s="58" t="s">
        <v>344</v>
      </c>
      <c r="B534" s="58"/>
      <c r="C534" s="58"/>
      <c r="D534" s="58"/>
      <c r="E534" s="4" t="s">
        <v>62</v>
      </c>
      <c r="F534" s="49">
        <f t="array" ref="F534">D488</f>
        <v>165467.93535039242</v>
      </c>
    </row>
    <row r="535" spans="1:6">
      <c r="A535" s="58" t="s">
        <v>345</v>
      </c>
      <c r="B535" s="58"/>
      <c r="C535" s="58"/>
      <c r="D535" s="58"/>
      <c r="E535" s="4" t="s">
        <v>62</v>
      </c>
      <c r="F535" s="49">
        <f t="array" ref="F535">D470</f>
        <v>22.809086169837919</v>
      </c>
    </row>
    <row r="536" spans="1:6">
      <c r="A536" s="58" t="s">
        <v>346</v>
      </c>
      <c r="B536" s="58"/>
      <c r="C536" s="58"/>
      <c r="D536" s="58"/>
      <c r="E536" s="4" t="s">
        <v>62</v>
      </c>
      <c r="F536" s="49">
        <f t="array" ref="F536">E166</f>
        <v>29430.417551350001</v>
      </c>
    </row>
    <row r="537" spans="1:6">
      <c r="A537" s="58" t="s">
        <v>347</v>
      </c>
      <c r="B537" s="58"/>
      <c r="C537" s="58"/>
      <c r="D537" s="58"/>
      <c r="E537" s="4" t="s">
        <v>62</v>
      </c>
      <c r="F537" s="49">
        <f t="array" ref="F537">E434</f>
        <v>14715.208775675001</v>
      </c>
    </row>
    <row r="538" spans="1:6">
      <c r="A538" s="58" t="s">
        <v>348</v>
      </c>
      <c r="B538" s="58"/>
      <c r="C538" s="58"/>
      <c r="D538" s="58"/>
      <c r="E538" s="4" t="s">
        <v>62</v>
      </c>
      <c r="F538" s="49">
        <f t="array" ref="F538">SUM(F227:F228)</f>
        <v>7417.9100799999997</v>
      </c>
    </row>
    <row r="539" spans="1:6">
      <c r="A539" s="58" t="s">
        <v>349</v>
      </c>
      <c r="B539" s="58"/>
      <c r="C539" s="58"/>
      <c r="D539" s="58"/>
      <c r="E539" s="4" t="s">
        <v>62</v>
      </c>
      <c r="F539" s="49">
        <f t="array" ref="F539">F538/F527</f>
        <v>239.28742193548385</v>
      </c>
    </row>
  </sheetData>
  <dataConsolidate/>
  <customSheetViews>
    <customSheetView guid="{4FC9B848-A432-420E-96A3-650FD7E100EA}" scale="60">
      <selection activeCell="C359" sqref="C359"/>
      <pageMargins left="0.7" right="0.7" top="0.75" bottom="0.75" header="0.3" footer="0.3"/>
      <pageSetup paperSize="9" scale="60" orientation="portrait" blackAndWhite="1" r:id="rId1"/>
    </customSheetView>
  </customSheetViews>
  <mergeCells count="451">
    <mergeCell ref="H308:I308"/>
    <mergeCell ref="H307:I307"/>
    <mergeCell ref="H309:I309"/>
    <mergeCell ref="C183:H183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H299:I299"/>
    <mergeCell ref="H300:I300"/>
    <mergeCell ref="H301:I301"/>
    <mergeCell ref="H302:I302"/>
    <mergeCell ref="H303:I303"/>
    <mergeCell ref="H304:I304"/>
    <mergeCell ref="H305:I305"/>
    <mergeCell ref="H306:I306"/>
    <mergeCell ref="A244:D244"/>
    <mergeCell ref="A245:D245"/>
    <mergeCell ref="H245:I245"/>
    <mergeCell ref="H244:I244"/>
    <mergeCell ref="N153:O153"/>
    <mergeCell ref="N152:O152"/>
    <mergeCell ref="N151:O151"/>
    <mergeCell ref="N150:O150"/>
    <mergeCell ref="N149:O149"/>
    <mergeCell ref="L153:M153"/>
    <mergeCell ref="L152:M152"/>
    <mergeCell ref="L151:M151"/>
    <mergeCell ref="L150:M150"/>
    <mergeCell ref="L149:M149"/>
    <mergeCell ref="M181:M208"/>
    <mergeCell ref="J150:K150"/>
    <mergeCell ref="J149:K149"/>
    <mergeCell ref="B181:J181"/>
    <mergeCell ref="B171:J171"/>
    <mergeCell ref="A162:C162"/>
    <mergeCell ref="A165:C165"/>
    <mergeCell ref="A163:C163"/>
    <mergeCell ref="A164:C164"/>
    <mergeCell ref="E163:F163"/>
    <mergeCell ref="E164:F164"/>
    <mergeCell ref="E165:F165"/>
    <mergeCell ref="E166:F166"/>
    <mergeCell ref="H163:I163"/>
    <mergeCell ref="A153:B153"/>
    <mergeCell ref="H246:I246"/>
    <mergeCell ref="I259:J259"/>
    <mergeCell ref="I260:J260"/>
    <mergeCell ref="I261:J261"/>
    <mergeCell ref="I262:J262"/>
    <mergeCell ref="B253:E253"/>
    <mergeCell ref="H248:I248"/>
    <mergeCell ref="F248:G248"/>
    <mergeCell ref="A149:B149"/>
    <mergeCell ref="D149:E149"/>
    <mergeCell ref="D150:E150"/>
    <mergeCell ref="D151:E151"/>
    <mergeCell ref="D152:E152"/>
    <mergeCell ref="D153:E153"/>
    <mergeCell ref="J152:K152"/>
    <mergeCell ref="J151:K151"/>
    <mergeCell ref="I264:J264"/>
    <mergeCell ref="I266:J266"/>
    <mergeCell ref="I263:J263"/>
    <mergeCell ref="I265:J265"/>
    <mergeCell ref="F298:G298"/>
    <mergeCell ref="H298:I298"/>
    <mergeCell ref="N154:O154"/>
    <mergeCell ref="E160:F160"/>
    <mergeCell ref="E161:F161"/>
    <mergeCell ref="L154:M154"/>
    <mergeCell ref="F224:G224"/>
    <mergeCell ref="H224:I224"/>
    <mergeCell ref="B157:J157"/>
    <mergeCell ref="A159:C159"/>
    <mergeCell ref="E159:F159"/>
    <mergeCell ref="H159:I159"/>
    <mergeCell ref="A160:C160"/>
    <mergeCell ref="A161:C161"/>
    <mergeCell ref="B210:I210"/>
    <mergeCell ref="A212:D212"/>
    <mergeCell ref="F212:G212"/>
    <mergeCell ref="H164:I164"/>
    <mergeCell ref="H166:I166"/>
    <mergeCell ref="H165:I165"/>
    <mergeCell ref="A226:D226"/>
    <mergeCell ref="A227:D227"/>
    <mergeCell ref="A228:D228"/>
    <mergeCell ref="K140:L140"/>
    <mergeCell ref="K141:L141"/>
    <mergeCell ref="E162:F162"/>
    <mergeCell ref="H160:I160"/>
    <mergeCell ref="H161:I161"/>
    <mergeCell ref="H162:I162"/>
    <mergeCell ref="E142:F142"/>
    <mergeCell ref="G142:H142"/>
    <mergeCell ref="K142:L142"/>
    <mergeCell ref="D154:E154"/>
    <mergeCell ref="H154:I154"/>
    <mergeCell ref="J154:K154"/>
    <mergeCell ref="I140:J140"/>
    <mergeCell ref="I141:J141"/>
    <mergeCell ref="E140:F140"/>
    <mergeCell ref="E141:F141"/>
    <mergeCell ref="G140:H140"/>
    <mergeCell ref="G141:H141"/>
    <mergeCell ref="H153:I153"/>
    <mergeCell ref="H152:I152"/>
    <mergeCell ref="H151:I151"/>
    <mergeCell ref="J110:K110"/>
    <mergeCell ref="J109:K109"/>
    <mergeCell ref="J108:K108"/>
    <mergeCell ref="J107:K107"/>
    <mergeCell ref="H150:I150"/>
    <mergeCell ref="H149:I149"/>
    <mergeCell ref="J153:K153"/>
    <mergeCell ref="B137:I137"/>
    <mergeCell ref="C120:D120"/>
    <mergeCell ref="A119:B119"/>
    <mergeCell ref="C118:D118"/>
    <mergeCell ref="C119:D119"/>
    <mergeCell ref="A120:B120"/>
    <mergeCell ref="A128:B128"/>
    <mergeCell ref="A129:B129"/>
    <mergeCell ref="E118:F118"/>
    <mergeCell ref="E119:F119"/>
    <mergeCell ref="E120:F120"/>
    <mergeCell ref="A130:B130"/>
    <mergeCell ref="A131:B131"/>
    <mergeCell ref="A132:B132"/>
    <mergeCell ref="A152:B152"/>
    <mergeCell ref="A151:B151"/>
    <mergeCell ref="A150:B150"/>
    <mergeCell ref="A110:B110"/>
    <mergeCell ref="F110:G110"/>
    <mergeCell ref="F109:G109"/>
    <mergeCell ref="F108:G108"/>
    <mergeCell ref="F107:G107"/>
    <mergeCell ref="H110:I110"/>
    <mergeCell ref="H109:I109"/>
    <mergeCell ref="H108:I108"/>
    <mergeCell ref="H107:I107"/>
    <mergeCell ref="A1:I1"/>
    <mergeCell ref="A539:D539"/>
    <mergeCell ref="A530:D530"/>
    <mergeCell ref="A531:D531"/>
    <mergeCell ref="A532:D532"/>
    <mergeCell ref="A533:D533"/>
    <mergeCell ref="A534:D534"/>
    <mergeCell ref="A535:D535"/>
    <mergeCell ref="A536:D536"/>
    <mergeCell ref="A537:D537"/>
    <mergeCell ref="A538:D538"/>
    <mergeCell ref="A524:D524"/>
    <mergeCell ref="A525:D525"/>
    <mergeCell ref="A526:D526"/>
    <mergeCell ref="A527:D527"/>
    <mergeCell ref="A528:D528"/>
    <mergeCell ref="A529:D529"/>
    <mergeCell ref="A515:D515"/>
    <mergeCell ref="A516:D516"/>
    <mergeCell ref="A517:D517"/>
    <mergeCell ref="A518:D518"/>
    <mergeCell ref="A519:D519"/>
    <mergeCell ref="H106:I106"/>
    <mergeCell ref="B104:H104"/>
    <mergeCell ref="B436:J436"/>
    <mergeCell ref="B440:J440"/>
    <mergeCell ref="B444:J444"/>
    <mergeCell ref="B448:J448"/>
    <mergeCell ref="B461:J461"/>
    <mergeCell ref="B466:J466"/>
    <mergeCell ref="B378:J378"/>
    <mergeCell ref="B382:J382"/>
    <mergeCell ref="B387:J387"/>
    <mergeCell ref="B392:J392"/>
    <mergeCell ref="B396:J396"/>
    <mergeCell ref="B400:J400"/>
    <mergeCell ref="B412:J412"/>
    <mergeCell ref="B421:J421"/>
    <mergeCell ref="A430:I430"/>
    <mergeCell ref="B432:J432"/>
    <mergeCell ref="B404:J404"/>
    <mergeCell ref="B408:J408"/>
    <mergeCell ref="B426:J426"/>
    <mergeCell ref="B417:J417"/>
    <mergeCell ref="A520:D520"/>
    <mergeCell ref="A521:D521"/>
    <mergeCell ref="A522:D522"/>
    <mergeCell ref="A523:D523"/>
    <mergeCell ref="B480:J480"/>
    <mergeCell ref="B486:J486"/>
    <mergeCell ref="B491:J491"/>
    <mergeCell ref="B496:J496"/>
    <mergeCell ref="B500:J500"/>
    <mergeCell ref="B504:J504"/>
    <mergeCell ref="B509:J509"/>
    <mergeCell ref="A514:D514"/>
    <mergeCell ref="B472:J472"/>
    <mergeCell ref="B476:J476"/>
    <mergeCell ref="A239:D239"/>
    <mergeCell ref="A240:D240"/>
    <mergeCell ref="A241:D241"/>
    <mergeCell ref="A242:D242"/>
    <mergeCell ref="A243:D243"/>
    <mergeCell ref="A247:D247"/>
    <mergeCell ref="A248:D248"/>
    <mergeCell ref="A299:C299"/>
    <mergeCell ref="A300:C300"/>
    <mergeCell ref="A301:C301"/>
    <mergeCell ref="A302:C302"/>
    <mergeCell ref="A303:C303"/>
    <mergeCell ref="A304:C304"/>
    <mergeCell ref="A305:C305"/>
    <mergeCell ref="A307:C307"/>
    <mergeCell ref="A308:C308"/>
    <mergeCell ref="A309:C309"/>
    <mergeCell ref="B313:J313"/>
    <mergeCell ref="B318:J318"/>
    <mergeCell ref="B347:J347"/>
    <mergeCell ref="B352:J352"/>
    <mergeCell ref="B357:J357"/>
    <mergeCell ref="A229:D229"/>
    <mergeCell ref="A230:D230"/>
    <mergeCell ref="A213:D213"/>
    <mergeCell ref="A214:D214"/>
    <mergeCell ref="A215:D215"/>
    <mergeCell ref="A216:D216"/>
    <mergeCell ref="A217:D217"/>
    <mergeCell ref="A218:D218"/>
    <mergeCell ref="A219:D219"/>
    <mergeCell ref="A222:I222"/>
    <mergeCell ref="F213:G213"/>
    <mergeCell ref="F216:G216"/>
    <mergeCell ref="F217:G217"/>
    <mergeCell ref="F218:G218"/>
    <mergeCell ref="F219:G219"/>
    <mergeCell ref="A224:D224"/>
    <mergeCell ref="F229:G229"/>
    <mergeCell ref="F230:G230"/>
    <mergeCell ref="H225:I225"/>
    <mergeCell ref="H226:I226"/>
    <mergeCell ref="H227:I227"/>
    <mergeCell ref="H228:I228"/>
    <mergeCell ref="H230:I230"/>
    <mergeCell ref="H229:I229"/>
    <mergeCell ref="H111:I111"/>
    <mergeCell ref="A112:B112"/>
    <mergeCell ref="J112:K112"/>
    <mergeCell ref="O33:P33"/>
    <mergeCell ref="O34:P34"/>
    <mergeCell ref="O35:P35"/>
    <mergeCell ref="O36:P36"/>
    <mergeCell ref="F112:G112"/>
    <mergeCell ref="H112:I112"/>
    <mergeCell ref="A102:H102"/>
    <mergeCell ref="A106:B106"/>
    <mergeCell ref="D106:E106"/>
    <mergeCell ref="F106:G106"/>
    <mergeCell ref="K37:K38"/>
    <mergeCell ref="L37:L38"/>
    <mergeCell ref="O38:P38"/>
    <mergeCell ref="O39:P39"/>
    <mergeCell ref="F111:G111"/>
    <mergeCell ref="J111:K111"/>
    <mergeCell ref="J106:K106"/>
    <mergeCell ref="A111:B111"/>
    <mergeCell ref="A107:B107"/>
    <mergeCell ref="A109:B109"/>
    <mergeCell ref="A108:B108"/>
    <mergeCell ref="F228:G228"/>
    <mergeCell ref="A5:H5"/>
    <mergeCell ref="A22:H22"/>
    <mergeCell ref="L147:M148"/>
    <mergeCell ref="N147:O148"/>
    <mergeCell ref="C142:D142"/>
    <mergeCell ref="B145:I145"/>
    <mergeCell ref="F147:G147"/>
    <mergeCell ref="A147:B148"/>
    <mergeCell ref="C147:C148"/>
    <mergeCell ref="D147:E148"/>
    <mergeCell ref="H147:I148"/>
    <mergeCell ref="J147:K148"/>
    <mergeCell ref="A142:B142"/>
    <mergeCell ref="O37:P37"/>
    <mergeCell ref="G139:H139"/>
    <mergeCell ref="I139:J139"/>
    <mergeCell ref="K139:L139"/>
    <mergeCell ref="D125:D126"/>
    <mergeCell ref="A123:I123"/>
    <mergeCell ref="A135:H135"/>
    <mergeCell ref="A139:B139"/>
    <mergeCell ref="C139:D139"/>
    <mergeCell ref="A140:B140"/>
    <mergeCell ref="A225:D225"/>
    <mergeCell ref="M24:M25"/>
    <mergeCell ref="N24:N25"/>
    <mergeCell ref="O24:P25"/>
    <mergeCell ref="K26:K27"/>
    <mergeCell ref="K35:K36"/>
    <mergeCell ref="K24:K25"/>
    <mergeCell ref="L26:L27"/>
    <mergeCell ref="L35:L36"/>
    <mergeCell ref="O26:P26"/>
    <mergeCell ref="O27:P27"/>
    <mergeCell ref="O28:P28"/>
    <mergeCell ref="O29:P29"/>
    <mergeCell ref="O31:P31"/>
    <mergeCell ref="O30:P30"/>
    <mergeCell ref="O32:P32"/>
    <mergeCell ref="K30:K32"/>
    <mergeCell ref="L30:L32"/>
    <mergeCell ref="B115:H115"/>
    <mergeCell ref="A117:B117"/>
    <mergeCell ref="C117:D117"/>
    <mergeCell ref="L24:L25"/>
    <mergeCell ref="E117:F117"/>
    <mergeCell ref="A118:B118"/>
    <mergeCell ref="A292:C292"/>
    <mergeCell ref="A297:C297"/>
    <mergeCell ref="B251:L251"/>
    <mergeCell ref="E125:F125"/>
    <mergeCell ref="A125:B126"/>
    <mergeCell ref="C125:C126"/>
    <mergeCell ref="C189:H189"/>
    <mergeCell ref="C195:H195"/>
    <mergeCell ref="C200:H201"/>
    <mergeCell ref="E139:F139"/>
    <mergeCell ref="C140:D140"/>
    <mergeCell ref="A127:B127"/>
    <mergeCell ref="A141:B141"/>
    <mergeCell ref="A166:C166"/>
    <mergeCell ref="A169:J169"/>
    <mergeCell ref="B173:E173"/>
    <mergeCell ref="B177:D177"/>
    <mergeCell ref="A154:B154"/>
    <mergeCell ref="C141:D141"/>
    <mergeCell ref="F225:G225"/>
    <mergeCell ref="F226:G226"/>
    <mergeCell ref="F227:G227"/>
    <mergeCell ref="F233:G233"/>
    <mergeCell ref="F234:G234"/>
    <mergeCell ref="B368:J368"/>
    <mergeCell ref="B373:J373"/>
    <mergeCell ref="A255:B255"/>
    <mergeCell ref="E255:F255"/>
    <mergeCell ref="G255:H255"/>
    <mergeCell ref="I255:J255"/>
    <mergeCell ref="A256:B256"/>
    <mergeCell ref="A257:B257"/>
    <mergeCell ref="A306:C306"/>
    <mergeCell ref="A266:B266"/>
    <mergeCell ref="G256:H256"/>
    <mergeCell ref="G257:H257"/>
    <mergeCell ref="G258:H258"/>
    <mergeCell ref="G259:H259"/>
    <mergeCell ref="G260:H260"/>
    <mergeCell ref="G261:H261"/>
    <mergeCell ref="I256:J256"/>
    <mergeCell ref="I257:J257"/>
    <mergeCell ref="I258:J258"/>
    <mergeCell ref="A283:C283"/>
    <mergeCell ref="A284:C284"/>
    <mergeCell ref="A285:C285"/>
    <mergeCell ref="A286:C286"/>
    <mergeCell ref="A287:C287"/>
    <mergeCell ref="F297:G297"/>
    <mergeCell ref="H297:I297"/>
    <mergeCell ref="A298:C298"/>
    <mergeCell ref="A271:C271"/>
    <mergeCell ref="F271:G271"/>
    <mergeCell ref="A272:C272"/>
    <mergeCell ref="A23:A24"/>
    <mergeCell ref="B23:B24"/>
    <mergeCell ref="C23:C24"/>
    <mergeCell ref="D23:D24"/>
    <mergeCell ref="E23:E24"/>
    <mergeCell ref="F23:G23"/>
    <mergeCell ref="H23:H24"/>
    <mergeCell ref="B269:L269"/>
    <mergeCell ref="B295:J295"/>
    <mergeCell ref="A258:B258"/>
    <mergeCell ref="A259:B259"/>
    <mergeCell ref="A260:B260"/>
    <mergeCell ref="A262:B262"/>
    <mergeCell ref="A263:B263"/>
    <mergeCell ref="A264:B264"/>
    <mergeCell ref="A265:B265"/>
    <mergeCell ref="A290:C290"/>
    <mergeCell ref="A291:C291"/>
    <mergeCell ref="H247:I247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H242:I242"/>
    <mergeCell ref="F241:G241"/>
    <mergeCell ref="F242:G242"/>
    <mergeCell ref="F247:G247"/>
    <mergeCell ref="F243:G243"/>
    <mergeCell ref="H231:I231"/>
    <mergeCell ref="H241:I241"/>
    <mergeCell ref="H243:I243"/>
    <mergeCell ref="H233:I233"/>
    <mergeCell ref="F231:G231"/>
    <mergeCell ref="F232:G232"/>
    <mergeCell ref="F245:G245"/>
    <mergeCell ref="F244:G244"/>
    <mergeCell ref="A246:D246"/>
    <mergeCell ref="F246:G246"/>
    <mergeCell ref="A275:C275"/>
    <mergeCell ref="A276:C276"/>
    <mergeCell ref="A277:C277"/>
    <mergeCell ref="F235:G235"/>
    <mergeCell ref="F236:G236"/>
    <mergeCell ref="F238:G238"/>
    <mergeCell ref="F237:G237"/>
    <mergeCell ref="F239:G239"/>
    <mergeCell ref="F240:G240"/>
    <mergeCell ref="H232:I232"/>
    <mergeCell ref="H234:I234"/>
    <mergeCell ref="H235:I235"/>
    <mergeCell ref="H236:I236"/>
    <mergeCell ref="H237:I237"/>
    <mergeCell ref="H239:I239"/>
    <mergeCell ref="H238:I238"/>
    <mergeCell ref="H240:I240"/>
    <mergeCell ref="A289:C289"/>
    <mergeCell ref="A288:C288"/>
    <mergeCell ref="E256:F256"/>
    <mergeCell ref="E257:F257"/>
    <mergeCell ref="E258:F258"/>
    <mergeCell ref="E259:F259"/>
    <mergeCell ref="E260:F260"/>
    <mergeCell ref="E261:F261"/>
    <mergeCell ref="A261:B261"/>
    <mergeCell ref="A278:C278"/>
    <mergeCell ref="A279:C279"/>
    <mergeCell ref="A280:C280"/>
    <mergeCell ref="A281:C281"/>
    <mergeCell ref="A282:C282"/>
    <mergeCell ref="A273:C273"/>
    <mergeCell ref="A274:C274"/>
  </mergeCells>
  <pageMargins left="0.7" right="0.7" top="0.75" bottom="0.75" header="0.3" footer="0.3"/>
  <pageSetup paperSize="9" scale="60" orientation="portrait" blackAndWhite="1" r:id="rId2"/>
  <cellWatches>
    <cellWatch r="D506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customSheetViews>
    <customSheetView guid="{4FC9B848-A432-420E-96A3-650FD7E100EA}">
      <selection activeCell="C26" sqref="C2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4FC9B848-A432-420E-96A3-650FD7E100EA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олечка</dc:creator>
  <cp:lastModifiedBy>Siarhei_Kutsankou</cp:lastModifiedBy>
  <cp:lastPrinted>2012-04-16T10:35:31Z</cp:lastPrinted>
  <dcterms:created xsi:type="dcterms:W3CDTF">2011-09-19T17:08:47Z</dcterms:created>
  <dcterms:modified xsi:type="dcterms:W3CDTF">2012-05-10T20:58:52Z</dcterms:modified>
</cp:coreProperties>
</file>